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25" activeTab="0"/>
  </bookViews>
  <sheets>
    <sheet name="tabela1" sheetId="1" r:id="rId1"/>
    <sheet name="tabela2" sheetId="2" r:id="rId2"/>
    <sheet name="tabela 2a" sheetId="3" r:id="rId3"/>
    <sheet name="załącznik1" sheetId="4" r:id="rId4"/>
    <sheet name="załącznik2" sheetId="5" r:id="rId5"/>
    <sheet name="załącznik3" sheetId="6" r:id="rId6"/>
    <sheet name="załącznik4" sheetId="7" r:id="rId7"/>
    <sheet name="załącznik5" sheetId="8" r:id="rId8"/>
  </sheets>
  <definedNames>
    <definedName name="_xlnm.Print_Area" localSheetId="0">'tabela1'!$A$1:$E$99</definedName>
    <definedName name="_xlnm.Print_Area" localSheetId="1">'tabela2'!$A$1:$P$271</definedName>
    <definedName name="_xlnm.Print_Area" localSheetId="4">'załącznik2'!$A$1:$K$22</definedName>
    <definedName name="_xlnm.Print_Area" localSheetId="5">'załącznik3'!$A$1:$H$20</definedName>
    <definedName name="_xlnm.Print_Area" localSheetId="6">'załącznik4'!$A$1:$F$33</definedName>
    <definedName name="_xlnm.Print_Area" localSheetId="7">'załącznik5'!$A$1:$F$46</definedName>
    <definedName name="_xlnm.Print_Titles" localSheetId="2">'tabela 2a'!$7:$13</definedName>
    <definedName name="_xlnm.Print_Titles" localSheetId="0">'tabela1'!$10:$11</definedName>
    <definedName name="_xlnm.Print_Titles" localSheetId="1">'tabela2'!$7:$11</definedName>
  </definedNames>
  <calcPr fullCalcOnLoad="1"/>
</workbook>
</file>

<file path=xl/sharedStrings.xml><?xml version="1.0" encoding="utf-8"?>
<sst xmlns="http://schemas.openxmlformats.org/spreadsheetml/2006/main" count="6721" uniqueCount="1057">
  <si>
    <t xml:space="preserve">Tabela nr 1 </t>
  </si>
  <si>
    <t xml:space="preserve">dochody z najmu i dzierżawy składników majątkowych jednostek samorządu terytorialnego, w tym : </t>
  </si>
  <si>
    <t>Wyszczególnienie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</si>
  <si>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</si>
  <si>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</si>
  <si>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</si>
  <si>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</si>
  <si>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</si>
  <si>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</si>
  <si>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</si>
  <si>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</si>
  <si>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Zakłady budżetowe</t>
  </si>
  <si>
    <t>Gospodarstwa pomocnicze</t>
  </si>
  <si>
    <t>Nazwa</t>
  </si>
  <si>
    <t xml:space="preserve"> </t>
  </si>
  <si>
    <t>Wydatki bieżące</t>
  </si>
  <si>
    <t>Wydatki majątkowe</t>
  </si>
  <si>
    <t>w złotych</t>
  </si>
  <si>
    <t>Kwota dotacji</t>
  </si>
  <si>
    <t>Lp.</t>
  </si>
  <si>
    <t>w tym: wpłata do budżetu</t>
  </si>
  <si>
    <t>Przychody*</t>
  </si>
  <si>
    <t>z tego:</t>
  </si>
  <si>
    <t>Dotacje</t>
  </si>
  <si>
    <t>Ogółem</t>
  </si>
  <si>
    <t>Źródło dochodów</t>
  </si>
  <si>
    <t>700 Gospodarka mieszkaniowa</t>
  </si>
  <si>
    <t>wpływy za zarząd , użytkowanie i użytkowanie wieczyste nieruchomości</t>
  </si>
  <si>
    <t>najem lokali mieszkalnych</t>
  </si>
  <si>
    <t xml:space="preserve">najem lokali użytkowych </t>
  </si>
  <si>
    <t xml:space="preserve">dzierżawa gruntów </t>
  </si>
  <si>
    <t xml:space="preserve">sprzedaż mieszkań </t>
  </si>
  <si>
    <t>Rady Miejskiej w Jelczu-Laskowicach</t>
  </si>
  <si>
    <t>pozostałe odsetki</t>
  </si>
  <si>
    <t>wpływy z różnych opłat ( koszty upomnień i inne )</t>
  </si>
  <si>
    <t xml:space="preserve">wpływy z różnych dochodów </t>
  </si>
  <si>
    <t>odsetki od nieterminowych wpłat z tytułu podatków i opłat</t>
  </si>
  <si>
    <t>podatek od nieruchomości</t>
  </si>
  <si>
    <t>podatek rolny</t>
  </si>
  <si>
    <t xml:space="preserve">podatek od środków transportowych </t>
  </si>
  <si>
    <t>podatek od czynności cywilnoprawnych</t>
  </si>
  <si>
    <t>podatek od spadków i darowizn</t>
  </si>
  <si>
    <t>wpływy z opłaty targowej</t>
  </si>
  <si>
    <t xml:space="preserve">podatek od czynności cywilnoprawnych </t>
  </si>
  <si>
    <t>wpływy z opłaty skarbowej</t>
  </si>
  <si>
    <t xml:space="preserve">podatek dochodowy od osób fizycznych </t>
  </si>
  <si>
    <t xml:space="preserve">podatek dochodowy od osób prawnych </t>
  </si>
  <si>
    <t xml:space="preserve">758 Różne rozliczenia </t>
  </si>
  <si>
    <t xml:space="preserve">                      S U B W E N C J E </t>
  </si>
  <si>
    <t xml:space="preserve">pozostałe odsetki  - odsetki na rachunkach bankowych </t>
  </si>
  <si>
    <t xml:space="preserve">subwencje ogólne z budżetu państwa - część równoważąca </t>
  </si>
  <si>
    <t xml:space="preserve">852 Pomoc społeczna </t>
  </si>
  <si>
    <t xml:space="preserve">wpływy z usług opiekuńczych </t>
  </si>
  <si>
    <t>DOTACJE NA ZADANIA ZLECONE Z ZAKRESU ADMINISTRACJI RZĄDOWEJ</t>
  </si>
  <si>
    <t xml:space="preserve">750 Administracja publiczna </t>
  </si>
  <si>
    <t>751 Urzędy nacz.organów władzy państwowej, kontroli i ochrony prawa oraz sądownictwa</t>
  </si>
  <si>
    <t>754 Bezpieczeństwo publiczne i ochrona p.pożarowa</t>
  </si>
  <si>
    <t xml:space="preserve">subwencje ogólne z budżetu  państwa - część oświatowa </t>
  </si>
  <si>
    <t>DOTACJE Z BUDŻETU PAŃSTWA NA ZADANIA WŁASNE</t>
  </si>
  <si>
    <t>wpływy z opłat za zezwolenia na sprzedaż alkoholu</t>
  </si>
  <si>
    <t>dotacje celowe otrzymane z budżetu państwa na realizację zadań bieżących z zakresu administracji rządowej - dofin. do kosztów wynagrodzenia</t>
  </si>
  <si>
    <t xml:space="preserve">dotacje celowe otrzymane z budżetu państwa na realizację zadań bieżących z zakresu administracji rządowej -  składki na ubezpieczenia zdrowotne </t>
  </si>
  <si>
    <t>dotacja z budżetu państwa na realizację własnych zadań - zasiłki i pomoc w naturze</t>
  </si>
  <si>
    <t>dotacja z budżetu państwa na realizację własnych zadań - dofin. do kosztów utrzymania MGOPS</t>
  </si>
  <si>
    <t xml:space="preserve">dotacje celowe otrzymane z budżetu państwa na realizację zadań bieżących z zakresu administracji rządowej finansowanie zasiłków rodzinnych i zaliczki alimentacyjnej </t>
  </si>
  <si>
    <t>Rolnictwo i łowiectwo</t>
  </si>
  <si>
    <t>Melioracje wodne</t>
  </si>
  <si>
    <t>składki na rzecz spółek wodnych</t>
  </si>
  <si>
    <t xml:space="preserve">Izby rolnicze </t>
  </si>
  <si>
    <t>wpłaty gmin na rzecz izb rolniczych</t>
  </si>
  <si>
    <t>Transport i łączność</t>
  </si>
  <si>
    <t xml:space="preserve">zakup usług komunikacji miejskiej </t>
  </si>
  <si>
    <t>Lokalny transport zbiorowy</t>
  </si>
  <si>
    <t>Drogi publiczne gminne</t>
  </si>
  <si>
    <t>DOCHODY OGÓŁEM</t>
  </si>
  <si>
    <t>remont nawierzchni dróg i ulic</t>
  </si>
  <si>
    <t>rekultywacja dróg gminnych</t>
  </si>
  <si>
    <t>oznakowanie poziome i pionowe</t>
  </si>
  <si>
    <t>utrzymanie dróg w okresie zimy</t>
  </si>
  <si>
    <t>podatek od działalności gospodarczej osób fizycznych opłacany w formie karty podatkowej</t>
  </si>
  <si>
    <t>Gospodarka mieszkaniowa</t>
  </si>
  <si>
    <t>opracowanie planów zagospodarowania przestrzennego</t>
  </si>
  <si>
    <t xml:space="preserve">Gospodarka  gruntami i nieruchomościami </t>
  </si>
  <si>
    <t>podziały geodezyjne</t>
  </si>
  <si>
    <t xml:space="preserve">usługi geodezyjne </t>
  </si>
  <si>
    <t xml:space="preserve">wyceny nieruchomości </t>
  </si>
  <si>
    <t>przygotowanie gruntów do sprzedaży</t>
  </si>
  <si>
    <t>opłaty za użytkowanie wieczyste</t>
  </si>
  <si>
    <t>Pozostała działalność</t>
  </si>
  <si>
    <t xml:space="preserve">remonty wiat przystankowych </t>
  </si>
  <si>
    <t xml:space="preserve">wpłaty na fundusz remontowy wspólnot </t>
  </si>
  <si>
    <t>wydatki inwestycyjne :</t>
  </si>
  <si>
    <t>budowa budynku socjalnego</t>
  </si>
  <si>
    <t>zakup urządzeń na wyposażenie placów zabaw</t>
  </si>
  <si>
    <t xml:space="preserve">Administracja publiczna </t>
  </si>
  <si>
    <t xml:space="preserve">diety radnych </t>
  </si>
  <si>
    <t>pozostałe koszty utrzymania Biura RM</t>
  </si>
  <si>
    <t>Urzędy gmin ( miast i miast na prawach powiatu)</t>
  </si>
  <si>
    <t xml:space="preserve">koszty utrzymania Urzędu M i G </t>
  </si>
  <si>
    <t xml:space="preserve">komputeryzacja Urzędu M i G </t>
  </si>
  <si>
    <t>Promocja jednostek samorządu terytorialnego</t>
  </si>
  <si>
    <t xml:space="preserve">koszty  promocji gminy </t>
  </si>
  <si>
    <t xml:space="preserve">koszty poboru podatków </t>
  </si>
  <si>
    <t>Obsługa długu publicznego</t>
  </si>
  <si>
    <t xml:space="preserve">Obsługa papierów wartościowych, kredytów i pożyczek </t>
  </si>
  <si>
    <t xml:space="preserve">Różne rozliczenia </t>
  </si>
  <si>
    <t>Rezerwy ogólne i celowe</t>
  </si>
  <si>
    <t xml:space="preserve">rezerwa na zadania oświatowe </t>
  </si>
  <si>
    <t xml:space="preserve">rezerwa na wspieranie inicjatyw samorządów wsi i osiedli </t>
  </si>
  <si>
    <t xml:space="preserve">Oświata i wychowanie </t>
  </si>
  <si>
    <t>Szkoły podstawowe</t>
  </si>
  <si>
    <t xml:space="preserve">koszty utrzymania szkół podstawowych </t>
  </si>
  <si>
    <t xml:space="preserve">w tym : </t>
  </si>
  <si>
    <t>PSP 3</t>
  </si>
  <si>
    <t xml:space="preserve">PSP Minkowice </t>
  </si>
  <si>
    <t xml:space="preserve">PSP Miłoszyce </t>
  </si>
  <si>
    <t>PSP Wójcice</t>
  </si>
  <si>
    <t xml:space="preserve">PSP 2 </t>
  </si>
  <si>
    <t xml:space="preserve">PSP 3 </t>
  </si>
  <si>
    <t xml:space="preserve">Gimnazja </t>
  </si>
  <si>
    <t xml:space="preserve">w tym: </t>
  </si>
  <si>
    <t xml:space="preserve">PG 1 </t>
  </si>
  <si>
    <t xml:space="preserve">PG 2 </t>
  </si>
  <si>
    <t xml:space="preserve">PG Minkowice </t>
  </si>
  <si>
    <t>Dowożenie uczniów do szkół</t>
  </si>
  <si>
    <t>(koszty dowożenia uczniów)</t>
  </si>
  <si>
    <t xml:space="preserve">Zespoły obsługi ekonomiczno-administracyjnej szkół </t>
  </si>
  <si>
    <t>(koszty  utrzymania ZEA)</t>
  </si>
  <si>
    <t xml:space="preserve">Przedszkola </t>
  </si>
  <si>
    <t>dotacja do kosztów utrzymania niepublicznych przedszkoli</t>
  </si>
  <si>
    <t>dotacja dla ZUST przy ZEA</t>
  </si>
  <si>
    <t xml:space="preserve">Ochrona zdrowia </t>
  </si>
  <si>
    <t xml:space="preserve">Lecznictwo ambulatoryjne </t>
  </si>
  <si>
    <t>Bezpieczeństwo publiczne i ochrona przeciwpożarowa</t>
  </si>
  <si>
    <t xml:space="preserve">Komendy wojewódzkie Policji </t>
  </si>
  <si>
    <t xml:space="preserve">finansowe wsparcie </t>
  </si>
  <si>
    <t xml:space="preserve">Ochotnicze straże pożarne </t>
  </si>
  <si>
    <t>Obrona cywilna</t>
  </si>
  <si>
    <t>Zwalczanie narkomanii</t>
  </si>
  <si>
    <t>Przeciwdziałanie alkoholizmowi</t>
  </si>
  <si>
    <t xml:space="preserve">Pomoc społeczna </t>
  </si>
  <si>
    <t xml:space="preserve">Domy pomocy społecznej </t>
  </si>
  <si>
    <t>( koszty opłat za pobyt w DPS)</t>
  </si>
  <si>
    <t>Towarzystwa budownictwa społecznego</t>
  </si>
  <si>
    <t xml:space="preserve">zakup i objęcie akcji </t>
  </si>
  <si>
    <t>Edukacyjna opieka wychowawcza</t>
  </si>
  <si>
    <t xml:space="preserve">Świetlice szkolne </t>
  </si>
  <si>
    <t xml:space="preserve">świetlica w PG 1 </t>
  </si>
  <si>
    <t xml:space="preserve">świetlica w SP Minkowice </t>
  </si>
  <si>
    <t xml:space="preserve">świetlica w PSP 2 </t>
  </si>
  <si>
    <t>świetlica  w  PSP 3</t>
  </si>
  <si>
    <t xml:space="preserve">świetlica w PSP Miłoszyce </t>
  </si>
  <si>
    <t>świetlica w PSP Wójcice</t>
  </si>
  <si>
    <t>Kolonie i obozy oraz inne formy wypoczynku dzieci i młodzieży</t>
  </si>
  <si>
    <t>(koszty organizacji wypoczynku)</t>
  </si>
  <si>
    <t xml:space="preserve">Gospodarka komunalna i ochrona środowiska </t>
  </si>
  <si>
    <t>Gospodarka ściekowa i ochrona wód</t>
  </si>
  <si>
    <t>remonty kanalizacji burzowej</t>
  </si>
  <si>
    <t>konserwacja kanalizacji burzowej</t>
  </si>
  <si>
    <t>utrzymanie przepompowni wód opadowych</t>
  </si>
  <si>
    <t>Zasiłki i pomoc w naturze</t>
  </si>
  <si>
    <t>Dodatki mieszkaniowe</t>
  </si>
  <si>
    <t xml:space="preserve">Ośrodki pomocy społecznej </t>
  </si>
  <si>
    <t>(koszty utrzymania MGOPS)</t>
  </si>
  <si>
    <t>Usługi opiekuńcze</t>
  </si>
  <si>
    <t>(koszty usług opiekuńczych)</t>
  </si>
  <si>
    <t>(koszty pomocy w dożywianiu)</t>
  </si>
  <si>
    <t>Oczyszczanie miast i wsi</t>
  </si>
  <si>
    <t>Utrzymanie zieleni w mieście i gminie</t>
  </si>
  <si>
    <t>Schroniska dla zwierząt</t>
  </si>
  <si>
    <t>Oświetlenie ulic, placów i dróg</t>
  </si>
  <si>
    <t xml:space="preserve"> koszty oświetlenia ulicznego </t>
  </si>
  <si>
    <t>uzupełnienie oświetlenia ulicznego</t>
  </si>
  <si>
    <t>koszty utrzymania Targowiska</t>
  </si>
  <si>
    <t>Kultura i ochrona dziedzictwa narodowego</t>
  </si>
  <si>
    <t>Pozostałe zadania w zakresie kultury</t>
  </si>
  <si>
    <t xml:space="preserve">Biblioteki </t>
  </si>
  <si>
    <t>dotacja dla instytucji kultury - Biblioteki</t>
  </si>
  <si>
    <t xml:space="preserve">Ochrona zabytków i opieka nad zabytkami </t>
  </si>
  <si>
    <t>Obiekty sportowe</t>
  </si>
  <si>
    <t>dotacja dla Pływalni Miejskiej</t>
  </si>
  <si>
    <t>dotacje na zadania :</t>
  </si>
  <si>
    <t>prowadzenia zajęć w zakresie kolarstwa</t>
  </si>
  <si>
    <t>organizację treningów i zawodów strzeleckich</t>
  </si>
  <si>
    <t>prowadzenie zajęć w zakresie  tenisa</t>
  </si>
  <si>
    <t>prowadzenie zajęć modelarskich z młodzieżą</t>
  </si>
  <si>
    <t>prowadzenie zajęć w zakresie piłki siatkowej</t>
  </si>
  <si>
    <t>koszty organizacji Dnia Dziecka</t>
  </si>
  <si>
    <t xml:space="preserve">Urzędy wojewódzkie </t>
  </si>
  <si>
    <t xml:space="preserve">Obrona cywilna </t>
  </si>
  <si>
    <t xml:space="preserve">Działalność usługowa </t>
  </si>
  <si>
    <t>Cmentarze - utrzymanie mogiły wojennej</t>
  </si>
  <si>
    <t>koszty realizacji zadań w zakresie zwalczania narkomanii</t>
  </si>
  <si>
    <t>koszty realizacji Gminnego Programu Rozwiązywania problemów alkoholowych</t>
  </si>
  <si>
    <t>wydatki inwestycyjne</t>
  </si>
  <si>
    <t xml:space="preserve">wydatki inwestycyjne </t>
  </si>
  <si>
    <t xml:space="preserve">Prowadzenie masowych zajęć sportowych z  młodzieżą gminy </t>
  </si>
  <si>
    <t xml:space="preserve">Prowadzenie zajęć sportowych z młodzieżą w zakresie kolarstwa </t>
  </si>
  <si>
    <t>Prowadzenie zajęć w zakresie modelarstwa z młodzieżą</t>
  </si>
  <si>
    <t>Prowadzenie zajęć sportowych w zakresie piłki siatkowej z młodzieżą</t>
  </si>
  <si>
    <t xml:space="preserve">Organizacja treningów i zawodów strzeleckich </t>
  </si>
  <si>
    <t xml:space="preserve">wpływy z różnych opłat </t>
  </si>
  <si>
    <t xml:space="preserve">Pływalnia Miejska </t>
  </si>
  <si>
    <t xml:space="preserve">Publiczne Gimnazjum nr 1 </t>
  </si>
  <si>
    <t xml:space="preserve">Publiczne Gimnazjum nr 2 </t>
  </si>
  <si>
    <t xml:space="preserve">Zespół PSP i PG Minkowice </t>
  </si>
  <si>
    <t xml:space="preserve">PSP nr 2 </t>
  </si>
  <si>
    <t xml:space="preserve">PSP nr 3 </t>
  </si>
  <si>
    <t xml:space="preserve">PSP Wójcice </t>
  </si>
  <si>
    <t>ZEA w Jelczu-Laskowicach</t>
  </si>
  <si>
    <t>Prowadzenie zajęć sportowych w zakresie pływania z młodzieżą</t>
  </si>
  <si>
    <t>Prowadzenie zajęć sportowych w zakresie tenisa stołowego z młodzieżą</t>
  </si>
  <si>
    <t>zakup infrastruktury technicznej w podstrefie WSSE</t>
  </si>
  <si>
    <t xml:space="preserve">rezerwa ogólna </t>
  </si>
  <si>
    <t xml:space="preserve">Dochody związane z realizacją zadań z zakresu administracji rządowej podlegające przekazaniu do budżetu państwa </t>
  </si>
  <si>
    <t xml:space="preserve">prowadzenie zajęć w zakresie pływania </t>
  </si>
  <si>
    <t xml:space="preserve">koszty  utrzymania OSP </t>
  </si>
  <si>
    <t>010</t>
  </si>
  <si>
    <t>Centra kultury i sztuki</t>
  </si>
  <si>
    <t>stypendia dla uczniów</t>
  </si>
  <si>
    <t>inwestycje</t>
  </si>
  <si>
    <t>prewencja chorób cywilizacyjnych</t>
  </si>
  <si>
    <t>odsetki od kredytu krótkoterminowego</t>
  </si>
  <si>
    <t>odsetki od spłaty zobowiązań wobec WSSE</t>
  </si>
  <si>
    <t xml:space="preserve">odsetki od emisji oblig. komunalnych </t>
  </si>
  <si>
    <t xml:space="preserve">Jednostki specjal. poradnictwa, mieszkania chronione </t>
  </si>
  <si>
    <t>koszty opłat za mieszkania chronione</t>
  </si>
  <si>
    <t xml:space="preserve">remonty gminnych obiektów </t>
  </si>
  <si>
    <t>remonty:</t>
  </si>
  <si>
    <t>SPŁATA KREDYTÓW I POŻYCZEK</t>
  </si>
  <si>
    <t>RAZEM WYDATKI I ROZCHODY</t>
  </si>
  <si>
    <t>prowadzenie zajęć sportowych z młodzieżą szkolną</t>
  </si>
  <si>
    <t>utrzymanie lokali socjalnych i odszkodowania za zajmowane lokale</t>
  </si>
  <si>
    <t>DOCHODY</t>
  </si>
  <si>
    <t>DOCHODY  BIEŻĄCE</t>
  </si>
  <si>
    <t>wpływy z innych lokalnych opłat pobieranych przez j.s.t na podstawie odrębnych ustaw</t>
  </si>
  <si>
    <t>DOCHODY MAJĄTKOWE</t>
  </si>
  <si>
    <t xml:space="preserve">700 Gospodarka mieszkaniowa </t>
  </si>
  <si>
    <t xml:space="preserve">wpływy z tyt. przekształcenia prawa użytkowania wieczystego nieruchomości </t>
  </si>
  <si>
    <t xml:space="preserve">sprzedaż lub oddanie w użytkowanie wieczyste nieruchomości przeznaczonych pod zabudowę </t>
  </si>
  <si>
    <t>DOTACJE REALIZOWANE NA PODSTAWIE POROZUMIEŃ Z ADMINISTRACJĄ RZĄDOWĄ</t>
  </si>
  <si>
    <t>710 Działalność usługowa</t>
  </si>
  <si>
    <t xml:space="preserve">Dotacje celowe z budżetu państwa na zadania własne- utrzymanie mogił wojennych </t>
  </si>
  <si>
    <t>rezerwa na zarządzanie kryzysowe</t>
  </si>
  <si>
    <t xml:space="preserve">dotacje z budżetu państwa na realizację własnych zadań </t>
  </si>
  <si>
    <t>Kwota</t>
  </si>
  <si>
    <t xml:space="preserve">Wpłaty z tytułu odpłatnego nabycia prawa własności oraz prawa użytkowania wieczystego nieruchomości, w tym : </t>
  </si>
  <si>
    <t>wydatki bieżące</t>
  </si>
  <si>
    <t>RAZEM WYDATKI NA ZADANIA WŁASNE</t>
  </si>
  <si>
    <t>Wynagrodzenia
i pochodne od 
wynagrodzeń</t>
  </si>
  <si>
    <t>wykupy nieruchomości</t>
  </si>
  <si>
    <t>(zadania w zakresie aktualizacji spisów wyborców)</t>
  </si>
  <si>
    <t>Rady gmin (miast i miast na prawach powiatu)</t>
  </si>
  <si>
    <t>Oddziały przedszkolne w szkołach podstawowych</t>
  </si>
  <si>
    <t>prowadzenie masowych zajęć sportowych z młodzieżą</t>
  </si>
  <si>
    <t>Wydatki 
na obsługę długu</t>
  </si>
  <si>
    <t>koszty realizacji zadań Gminnego Zespołu Reagowania</t>
  </si>
  <si>
    <t>Dochody od osób prawnych, od osób fizycznych i od innych jednostek organizacyjnych</t>
  </si>
  <si>
    <t xml:space="preserve">F. Ś. Socjalnych nauczycieli - emerytów i rencistów </t>
  </si>
  <si>
    <t>wynagr. bezosobowe czł. Kom. Urbanistyczno-Architek.</t>
  </si>
  <si>
    <t xml:space="preserve">komisja kwalifik. awansu zawodowego nauczycieli </t>
  </si>
  <si>
    <t>SALDO (dochody - wydatki + kredyt)</t>
  </si>
  <si>
    <t>dotacje celowe otrzymane z budżetu państwa na realizację zadań bieżących z zakresu administracji rządowej-dofin. kosztów GZRK</t>
  </si>
  <si>
    <t>remonty obiektów + zajęcia rewalidacyjne</t>
  </si>
  <si>
    <t>odsetki od kredytu z BOŚ - II</t>
  </si>
  <si>
    <t>dotacja dla instytucji kultury - MGCK</t>
  </si>
  <si>
    <t>dotacje otrzymane z funduszy celowych na finansowanie lub dofinansowanie kosztów realizacji inwestycji i zakupów inwestycyjnych jednostek sektora finansów publicznych</t>
  </si>
  <si>
    <t>900 Gospodarka komunalna i ochrona środowiska</t>
  </si>
  <si>
    <t xml:space="preserve">dofinansowanie zakupu wyposażenia dla OSP </t>
  </si>
  <si>
    <t>budowa Centrum Sportu i Rekreacji</t>
  </si>
  <si>
    <t>KREDYTY I POŻYCZKI</t>
  </si>
  <si>
    <t>Składki zdrowotne</t>
  </si>
  <si>
    <t>remonty gminnych zasobów mieszkaniowych -ZGM-TBS</t>
  </si>
  <si>
    <t>modernizacja budynku przy ul. Techników 12 oraz zakup wyposażenia do świetlicy "Opty"</t>
  </si>
  <si>
    <t>Biskupice</t>
  </si>
  <si>
    <t>Brzezinki</t>
  </si>
  <si>
    <t>Chwałowice</t>
  </si>
  <si>
    <t>Dębina</t>
  </si>
  <si>
    <t>Dziuplina</t>
  </si>
  <si>
    <t>Grędzina</t>
  </si>
  <si>
    <t>Kopalina</t>
  </si>
  <si>
    <t>Łęg</t>
  </si>
  <si>
    <t>Miłocice</t>
  </si>
  <si>
    <t>Miłocice Małe</t>
  </si>
  <si>
    <t>Miłoszyce</t>
  </si>
  <si>
    <t>Minkowice</t>
  </si>
  <si>
    <t>Nowy Dwór</t>
  </si>
  <si>
    <t>Piekary</t>
  </si>
  <si>
    <t>Wójcice</t>
  </si>
  <si>
    <t>Razem</t>
  </si>
  <si>
    <t>fundusz sołecki</t>
  </si>
  <si>
    <t xml:space="preserve">(koszty opieki nad bezpańskimi zwierzętami) </t>
  </si>
  <si>
    <t>budowa kanalizacji sanitarnej w Chwałowicach i Dębinie 
etap 4-5</t>
  </si>
  <si>
    <t>pozostałe opłaty i składki</t>
  </si>
  <si>
    <t>dotacja z budżetu państwa na realizację własnych zadań - zasiłki stałe</t>
  </si>
  <si>
    <t>Zasiłki stałe</t>
  </si>
  <si>
    <t>kwota</t>
  </si>
  <si>
    <t>wydatki 
jednostek
budżetowych,</t>
  </si>
  <si>
    <t>z tego</t>
  </si>
  <si>
    <t>inwestycje i zakupy inwestycyjne</t>
  </si>
  <si>
    <t>zakup i objęcie akcji i udziałów oraz wniesienie wkładów do spółek prawa handlowego.</t>
  </si>
  <si>
    <t>wydatki związane z realizacją ich statutowych zadań;</t>
  </si>
  <si>
    <t>odsetki od pożyczki WFOŚ</t>
  </si>
  <si>
    <t>odsetki od planowanego kredytu</t>
  </si>
  <si>
    <t>budowa ul. Prusa</t>
  </si>
  <si>
    <t xml:space="preserve">Razem wydatki </t>
  </si>
  <si>
    <t>Dane w  złotych</t>
  </si>
  <si>
    <t>utwardzenie ul. Leśnej</t>
  </si>
  <si>
    <t>utrzymanie świetlicy wiejskiej</t>
  </si>
  <si>
    <t>organizacja imprez kulturalnych</t>
  </si>
  <si>
    <t>budowa placu zabaw</t>
  </si>
  <si>
    <t xml:space="preserve">wykonanie zadaszenia do świetlicy - dobudowa </t>
  </si>
  <si>
    <t>zakup wyposażenia na plac zabaw</t>
  </si>
  <si>
    <t>ogrodzenie placu rekreacyjnego</t>
  </si>
  <si>
    <t>RAZEM</t>
  </si>
  <si>
    <t xml:space="preserve">fundusz sołecki 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</si>
  <si>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</si>
  <si>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</si>
  <si>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</si>
  <si>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</si>
  <si>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</si>
  <si>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</si>
  <si>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 xml:space="preserve">Nazwa zadania </t>
  </si>
  <si>
    <t>Przedszkola niepubliczne</t>
  </si>
  <si>
    <t>Biblioteka miejska</t>
  </si>
  <si>
    <t>Gminne Centrum Kultury</t>
  </si>
  <si>
    <t>Pływalnia Miejska - Zakład Budżetowy</t>
  </si>
  <si>
    <t>dotacje
z budżetu</t>
  </si>
  <si>
    <t>zakres dotacji</t>
  </si>
  <si>
    <t>dotacja przedmiotowa</t>
  </si>
  <si>
    <t>dotacja celowa na inwestycje</t>
  </si>
  <si>
    <t>cel dotacji</t>
  </si>
  <si>
    <t>dotacja celowa za zadania bieżące z udziałem środków z UE</t>
  </si>
  <si>
    <t>Jednostka Organizacyjna</t>
  </si>
  <si>
    <t>Dochody</t>
  </si>
  <si>
    <t>Wydatki razem</t>
  </si>
  <si>
    <t>bieżące</t>
  </si>
  <si>
    <t>majątkowe</t>
  </si>
  <si>
    <t>Plan</t>
  </si>
  <si>
    <t>z tytułu zezwoleń na sprzedaż alkoholu</t>
  </si>
  <si>
    <t>Gminny Program Przeciwdziałania Narkomanii</t>
  </si>
  <si>
    <t xml:space="preserve">Prowadzenie zajęć sportowych z młodzieżą szkolną </t>
  </si>
  <si>
    <t>Nazwa Sołectwa</t>
  </si>
  <si>
    <t>Nazwa zadania, przedsięwzięcia</t>
  </si>
  <si>
    <t>Tabela nr 2</t>
  </si>
  <si>
    <t>Gminny Program Profilaktyki i Rozwiązywania problemów Alkoholowych</t>
  </si>
  <si>
    <t>załącznik nr 3</t>
  </si>
  <si>
    <t>dopłata do 
1 godz. usługi</t>
  </si>
  <si>
    <t>termomodernizacja ścian zewnętrznych oraz dachów czterech budynków mieszkalnych przy ulicy Techników nr 19-21,22-24,23-27 i 29-29A</t>
  </si>
  <si>
    <t xml:space="preserve">Dofinansowanie zakupu wyposażenia dla OSP </t>
  </si>
  <si>
    <t>podatek leśny</t>
  </si>
  <si>
    <t>dotacje celowe otrzymane z budżetu państwa na realizację zadań bieżących z zakresu administracji rządowej na bieżącą aktualizację spisów wyborców</t>
  </si>
  <si>
    <t>oprac. proj. o war. zabudowy inwestycji celu publicznego</t>
  </si>
  <si>
    <t>opłaty notarialne i sądowe</t>
  </si>
  <si>
    <t xml:space="preserve">utworzenie miejsca rekreacyjno-wypoczynkowego dla młodzieży i starszych  celem integracji lokalnej społeczności i możliwości spędzenia wolnego czasu </t>
  </si>
  <si>
    <t xml:space="preserve">przebudowa  i modernizacja drobnej infrastruktury przestrzeni publicznej i utworzenie bezpiecznego placu zabaw dla dzieci </t>
  </si>
  <si>
    <t>modernizacja pokryć dachowych budynków mieszkalnych przy ul. Działkowej nr 1-9 i ul. Techników nr 3,5,16,18,20 oraz termomodernizacja ścian zewnętrznych i części wspólnych</t>
  </si>
  <si>
    <t>Pobór podatków, opłat i nieopodatkowanych należności</t>
  </si>
  <si>
    <t>rezerwa na ochronę i konserwację zabytków</t>
  </si>
  <si>
    <t xml:space="preserve">świadczenia rodzinne, zaliczka alimentacyjna oraz składki na ubezpieczenia </t>
  </si>
  <si>
    <t>składki na ubezpieczenia zdrowotne opłacane za osoby pobierające świadczenia z pomocy społecznej</t>
  </si>
  <si>
    <t>utrzymanie i wyposażenie świetlicy wiejskiej</t>
  </si>
  <si>
    <t xml:space="preserve">budowa dróg na os. Domków Jednorodzinnych w Jelczu-Laskowicach </t>
  </si>
  <si>
    <t>Dochody budżetu gminy na 2011 r.</t>
  </si>
  <si>
    <t>Plan
na 2011 r.
(5+12)</t>
  </si>
  <si>
    <t>Wydatki budżetu gminy na  2011 r.</t>
  </si>
  <si>
    <t>świadczenia na rzecz osób fizycznych</t>
  </si>
  <si>
    <t>Plan 2011 r.</t>
  </si>
  <si>
    <t>utwardzenie nawierzchni targowiska</t>
  </si>
  <si>
    <t>Drogi publiczne powiatowe</t>
  </si>
  <si>
    <t>zagospodarowanie placu w Miłoszycach</t>
  </si>
  <si>
    <t>odsetki od kredytu PKO SA</t>
  </si>
  <si>
    <t>budowa placów zabaw przy szkole</t>
  </si>
  <si>
    <t>pomoc finansowa nabór uczniów</t>
  </si>
  <si>
    <t>edukacja ekologiczna</t>
  </si>
  <si>
    <t>Pomoc materialna dla uczniów</t>
  </si>
  <si>
    <t>utworzenie społecznego konserwatorium edukacji ekologicznej W Chwałowicach</t>
  </si>
  <si>
    <t>koszty ochrony ośrodka nad stawem</t>
  </si>
  <si>
    <t>dotacje otrzymane z funduszy celowych na finansowanie lub dofinansowanie kosztów realizacji inwestycji i zakupów inwestycyjnych jednostek sektora finansów publicznych w tym:</t>
  </si>
  <si>
    <t>dotacja WFOŚ - budowa kanalizacji sanitarnej 
Chwałowice-Dębina</t>
  </si>
  <si>
    <t>dotacja NFOŚiGW - Społeczne Konserwatorium Edukacji Ekologicznej w Chwałowicach</t>
  </si>
  <si>
    <t>wydatki na prog. finan. 
z udziałem środków 
o których mowa w art. 5 ust. 1 pkt 2 i 3</t>
  </si>
  <si>
    <t>wyburzenie budynków</t>
  </si>
  <si>
    <t>koszty utrzymania zasobów mieszkaniowych - ZGM-TBS</t>
  </si>
  <si>
    <t>koszty utrzymania zasobów mieszkaniowych - pozostałe</t>
  </si>
  <si>
    <t>zakup samochodów pożarniczych</t>
  </si>
  <si>
    <t>przebudowa budynku OSP Biskupice</t>
  </si>
  <si>
    <t>utrzymania  obiektów kultury</t>
  </si>
  <si>
    <t>DOCHODY BIEŻĄCE</t>
  </si>
  <si>
    <t>WYDATKI BIEŻĄCE</t>
  </si>
  <si>
    <t>NADWYŻKA DOCHODÓW BIEŻĄCYCH NAD WYDATKAMI BIEŻĄCYMI</t>
  </si>
  <si>
    <t xml:space="preserve">przebudowa ul. Bożka </t>
  </si>
  <si>
    <t>modernizacja oświetlenia na obszarze wsparcia (LPR)</t>
  </si>
  <si>
    <t>remont Pałacu (instalacja wodna i CO)</t>
  </si>
  <si>
    <t>WYDATKI NA ZADANIA ZLECONE Z ZAKRESU ADMINISTRACJI RZĄDOWEJ</t>
  </si>
  <si>
    <t>RAZEM WYDATKI NA ZADANIA ZLECONE Z ZAKRESU ADMINISTRACJI RZĄDOWEJ</t>
  </si>
  <si>
    <t>WYDATKI REALIZOWANE NA PODSTAWIE POROZUMIEŃ Z ADMINISTRACJĄ RZĄDOWĄ</t>
  </si>
  <si>
    <t>RAZEM WYDATKI REALIZOWANE NA PODSTAWIE POROZUMIEŃ 
Z ADMINISTRACJĄ RZĄDOWĄ</t>
  </si>
  <si>
    <t>dotacja (LPR) modernizacja oświetlenia na obszarze wsparcia</t>
  </si>
  <si>
    <t>przebudowa i rozbudowa budynku remizy w Wójcicach</t>
  </si>
  <si>
    <t>754 Bezpieczeństwo publiczne i ochrona przeciwpożarowa</t>
  </si>
  <si>
    <t>Stołówki szkolne i przedszkolne</t>
  </si>
  <si>
    <t>752 Obrona narodowa</t>
  </si>
  <si>
    <t xml:space="preserve">dotacje celowe otrzymane z budżetu państwa na realizację zadań bieżących z zakresu administracji rządowej </t>
  </si>
  <si>
    <t>Obrona narodowa</t>
  </si>
  <si>
    <t>Pozostałe wydatki obronne</t>
  </si>
  <si>
    <t>wpływy z tytułu zwrotów wypłaconych świadczeń z funduszu alimentacyjnego</t>
  </si>
  <si>
    <t>dotacja PROW - Społeczne Konserwatorium Edukacji Ekologicznej w Chwałowicach</t>
  </si>
  <si>
    <t>Plan wydatków na przedsięwzięcia realizowane 
w ramach Funduszu Sołeckiego w roku 2011</t>
  </si>
  <si>
    <t>wykonanie ogrodzenia działki</t>
  </si>
  <si>
    <t>wykonanie ogrodzenia przystanku</t>
  </si>
  <si>
    <t>wyposażenie placu zabaw przy świetlicy</t>
  </si>
  <si>
    <t>wyposażenie placu zabaw</t>
  </si>
  <si>
    <t>instalacja ogrzewania olejowego</t>
  </si>
  <si>
    <t>wpływy z opłaty eksploatacyjnej</t>
  </si>
  <si>
    <t>pomoc finansowa - koncepcja budowy obwodnicy</t>
  </si>
  <si>
    <t>801 Oświata i wychowanie</t>
  </si>
  <si>
    <t>realizacja programu "Szkoła przyjazna Uczniom"</t>
  </si>
  <si>
    <t>dotacje celowe w ramach programów finansowanych z udziałem środków europejskich oraz środków, o których mowa w art. 5 ust. 1 pkt 3 oraz ust. 3 pkt 5 i 6 ustawy, lub płatności w ramach budżetu środków europejskich - Szkoła przyjazna uczniom</t>
  </si>
  <si>
    <t>dotacja - budowa kanalizacji sanitarnej 
Chwałowice-Dębina</t>
  </si>
  <si>
    <t>Plan dochodów i wydatków na realizację Gminnego Programu Profilaktyki i Rozwiązywania Problemów Alkoholowych i Przeciwdziałania Narkomanii w 2011r</t>
  </si>
  <si>
    <t>na 2011 r</t>
  </si>
  <si>
    <t>pozostałe wydatki</t>
  </si>
  <si>
    <t>dotacja z budżetu państwa na realizację własnych zadań - dofin. kosztów wyżywienia</t>
  </si>
  <si>
    <t>dotacje celowe w ramach programów finansowanych z udziałem środków europejskich oraz środków, o których mowa w art. 5 ust. 1 pkt 3 oraz ust. 3 pkt 5 i 6 ustawy, lub płatności w ramach budżetu środków europejskich, w tym na:</t>
  </si>
  <si>
    <t>756 Dochody od osób prawnych, od osób fiz. i od innych jedn. nieposiadaj. osobowości 
       prawnej oraz wydatki związane z ich poborem</t>
  </si>
  <si>
    <t xml:space="preserve">budowa ul. Sadowej, Wąskopolnej i Polnej - projekt </t>
  </si>
  <si>
    <t>modernizacja drobnej infrastruktury przestrzeni publicznej  w zakresie  chodników, parkingów i zieleni miejskiej na obszarze wsparcia (LPR)</t>
  </si>
  <si>
    <t>stołówka przy PSP 2</t>
  </si>
  <si>
    <t>zakup i objęcie udziałów EKOGOK Ślęża-Oława</t>
  </si>
  <si>
    <t xml:space="preserve">Urzędy nacz. organów władzy państwowej, kontroli i ochrony prawa oraz sądownictwa </t>
  </si>
  <si>
    <t xml:space="preserve">Urzędy nacz. organów władzy państwowej ,kontroli i ochrony prawa  </t>
  </si>
  <si>
    <t>dotacje celowe w ramach programów finansowanych z udziałem środków europejskich oraz środków, o których mowa w art. 5 ust. 1 pkt 3 oraz ust. 3 pkt 5 i 6 ustawy, lub płatności w ramach budżetu środków europejskich, w tym:</t>
  </si>
  <si>
    <t>dotacje otrzymane z funduszy celowych na finansowanie lub dofinansowanie kosztów realizacji inwestycji i zakupów inwestycyjnych jednostek sektora finansów publicznych, w tym:</t>
  </si>
  <si>
    <t>załącznik nr 2</t>
  </si>
  <si>
    <t>Gospodarka odpadami</t>
  </si>
  <si>
    <t>załącznik nr 4</t>
  </si>
  <si>
    <t>na prog. finan. 
z udziałem środków 
o których mowa w art. 5 ust. 1 pkt 2 i 3</t>
  </si>
  <si>
    <t>Plan przychodów i kosztów zakładów samorządowych zakładów budżetowych</t>
  </si>
  <si>
    <t>Plan dochodów na wydzielonych rachunkach oświatowych jednostek budżetowych 
i wydatków nimi finansowanymi
 w 2011r</t>
  </si>
  <si>
    <t>załącznik nr 5</t>
  </si>
  <si>
    <t>Plan dotacji udzielanych podmiotom należącym i nienależącym
do sektora finansów publicznych w 2011 r.</t>
  </si>
  <si>
    <t>załącznik nr 1</t>
  </si>
  <si>
    <t xml:space="preserve">do uchwały nr VII/35/2011 </t>
  </si>
  <si>
    <t xml:space="preserve">z dnia: 25 lutego 2011 r. </t>
  </si>
  <si>
    <t>Tabela nr 2a</t>
  </si>
  <si>
    <t xml:space="preserve">Wydatki budżetowe na 2011 r. w szczegółowości działów, rozdziałów i paragrafów klasyfikacji budżetowej </t>
  </si>
  <si>
    <t>Rodzaj zadania:</t>
  </si>
  <si>
    <t>Poroz. z AR</t>
  </si>
  <si>
    <t>Z tego</t>
  </si>
  <si>
    <t>Wydatki 
bieżące</t>
  </si>
  <si>
    <t>Wydatki 
majątkowe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</si>
  <si>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</si>
  <si>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</si>
  <si>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</si>
  <si>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</si>
  <si>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</si>
  <si>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</si>
  <si>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</si>
  <si>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</si>
  <si>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</si>
  <si>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</si>
  <si>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</si>
  <si>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</si>
  <si>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</si>
  <si>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</si>
  <si>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</si>
  <si>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</si>
  <si>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</si>
  <si>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</si>
  <si>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</si>
  <si>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</si>
  <si>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</si>
  <si>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</si>
  <si>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</si>
  <si>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</si>
  <si>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</si>
  <si>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710</t>
  </si>
  <si>
    <t>Działalność usługowa</t>
  </si>
  <si>
    <t>1 700,00</t>
  </si>
  <si>
    <t>0,00</t>
  </si>
  <si>
    <t>71035</t>
  </si>
  <si>
    <t>Cmentarze</t>
  </si>
  <si>
    <t>4210</t>
  </si>
  <si>
    <t>Zakup materiałów i wyposażenia</t>
  </si>
  <si>
    <t>700,00</t>
  </si>
  <si>
    <t>4300</t>
  </si>
  <si>
    <t>Zakup usług pozostałych</t>
  </si>
  <si>
    <t>1 000,00</t>
  </si>
  <si>
    <t>Wydatki razem:</t>
  </si>
  <si>
    <t>Własne</t>
  </si>
  <si>
    <t>45 000,00</t>
  </si>
  <si>
    <t>01008</t>
  </si>
  <si>
    <t>30 000,00</t>
  </si>
  <si>
    <t>4430</t>
  </si>
  <si>
    <t>Różne opłaty i składki</t>
  </si>
  <si>
    <t>01030</t>
  </si>
  <si>
    <t>Izby rolnicze</t>
  </si>
  <si>
    <t>15 000,00</t>
  </si>
  <si>
    <t>2850</t>
  </si>
  <si>
    <t>Wpłaty gmin na rzecz izb rolniczych w wysokości 2% uzyskanych wpływów z podatku rolnego</t>
  </si>
  <si>
    <t>600</t>
  </si>
  <si>
    <t>4 454 640,00</t>
  </si>
  <si>
    <t>2 165 000,00</t>
  </si>
  <si>
    <t>2 289 640,00</t>
  </si>
  <si>
    <t>1 650 000,00</t>
  </si>
  <si>
    <t>60004</t>
  </si>
  <si>
    <t>1 048 500,00</t>
  </si>
  <si>
    <t>60014</t>
  </si>
  <si>
    <t>260 000,00</t>
  </si>
  <si>
    <t>6300</t>
  </si>
  <si>
    <t>Dotacja celowa na pomoc finansową udzielaną między jednostkami samorządu terytorialnego na dofinansowanie własnych zadań inwestycyjnych i zakupów inwestycyjnych</t>
  </si>
  <si>
    <t>60016</t>
  </si>
  <si>
    <t>3 146 140,00</t>
  </si>
  <si>
    <t>1 116 500,00</t>
  </si>
  <si>
    <t>2 029 640,00</t>
  </si>
  <si>
    <t>6 500,00</t>
  </si>
  <si>
    <t>4270</t>
  </si>
  <si>
    <t>Zakup usług remontowych</t>
  </si>
  <si>
    <t>450 000,00</t>
  </si>
  <si>
    <t>650 000,00</t>
  </si>
  <si>
    <t>10 000,00</t>
  </si>
  <si>
    <t>6050</t>
  </si>
  <si>
    <t>Wydatki inwestycyjne jednostek budżetowych</t>
  </si>
  <si>
    <t>379 640,00</t>
  </si>
  <si>
    <t>6057</t>
  </si>
  <si>
    <t>825 000,00</t>
  </si>
  <si>
    <t>6059</t>
  </si>
  <si>
    <t>700</t>
  </si>
  <si>
    <t>7 661 303,00</t>
  </si>
  <si>
    <t>3 304 800,00</t>
  </si>
  <si>
    <t>20 000,00</t>
  </si>
  <si>
    <t>3 284 800,00</t>
  </si>
  <si>
    <t>4 356 503,00</t>
  </si>
  <si>
    <t>3 696 503,00</t>
  </si>
  <si>
    <t>2 700 000,00</t>
  </si>
  <si>
    <t>660 000,00</t>
  </si>
  <si>
    <t>70005</t>
  </si>
  <si>
    <t>Gospodarka gruntami i nieruchomościami</t>
  </si>
  <si>
    <t>982 203,00</t>
  </si>
  <si>
    <t>520 000,00</t>
  </si>
  <si>
    <t>500 000,00</t>
  </si>
  <si>
    <t>462 203,00</t>
  </si>
  <si>
    <t>4170</t>
  </si>
  <si>
    <t>Wynagrodzenia bezosobowe</t>
  </si>
  <si>
    <t>415 000,00</t>
  </si>
  <si>
    <t>85 000,00</t>
  </si>
  <si>
    <t>6060</t>
  </si>
  <si>
    <t>Wydatki na zakupy inwestycyjne jednostek budżetowych</t>
  </si>
  <si>
    <t>70021</t>
  </si>
  <si>
    <t>Towarzystwa Budownictwa Społecznego</t>
  </si>
  <si>
    <t>6010</t>
  </si>
  <si>
    <t>Wydatki na zakup i objęcie akcji, wniesienie wkładów do spółek prawa handlowego oraz na uzupełnienie funduszy statutowych banków państwowych i innych instytucji finansowych</t>
  </si>
  <si>
    <t>70095</t>
  </si>
  <si>
    <t>6 019 100,00</t>
  </si>
  <si>
    <t>2 784 800,00</t>
  </si>
  <si>
    <t>3 234 300,00</t>
  </si>
  <si>
    <t>109 800,00</t>
  </si>
  <si>
    <t>4260</t>
  </si>
  <si>
    <t>Zakup energii</t>
  </si>
  <si>
    <t>1 229 000,00</t>
  </si>
  <si>
    <t>445 000,00</t>
  </si>
  <si>
    <t>795 500,00</t>
  </si>
  <si>
    <t>155 500,00</t>
  </si>
  <si>
    <t>4530</t>
  </si>
  <si>
    <t>Podatek od towarów i usług (VAT).</t>
  </si>
  <si>
    <t>4600</t>
  </si>
  <si>
    <t>Kary i odszkodowania wypłacane na rzecz osób prawnych i innych jednostek organizacyjnych</t>
  </si>
  <si>
    <t>40 000,00</t>
  </si>
  <si>
    <t>534 300,00</t>
  </si>
  <si>
    <t>1 867 500,00</t>
  </si>
  <si>
    <t>832 500,00</t>
  </si>
  <si>
    <t>750</t>
  </si>
  <si>
    <t>Administracja publiczna</t>
  </si>
  <si>
    <t>6 720 000,00</t>
  </si>
  <si>
    <t>6 394 000,00</t>
  </si>
  <si>
    <t>4 327 500,00</t>
  </si>
  <si>
    <t>2 066 500,00</t>
  </si>
  <si>
    <t>326 000,00</t>
  </si>
  <si>
    <t>75022</t>
  </si>
  <si>
    <t>336 000,00</t>
  </si>
  <si>
    <t>16 000,00</t>
  </si>
  <si>
    <t>2 500,00</t>
  </si>
  <si>
    <t>13 500,00</t>
  </si>
  <si>
    <t>320 000,00</t>
  </si>
  <si>
    <t>3030</t>
  </si>
  <si>
    <t xml:space="preserve">Różne wydatki na rzecz osób fizycznych </t>
  </si>
  <si>
    <t>6 000,00</t>
  </si>
  <si>
    <t>4410</t>
  </si>
  <si>
    <t>Podróże służbowe krajowe</t>
  </si>
  <si>
    <t>4700</t>
  </si>
  <si>
    <t xml:space="preserve">Szkolenia pracowników niebędących członkami korpusu służby cywilnej </t>
  </si>
  <si>
    <t>4 000,00</t>
  </si>
  <si>
    <t>75023</t>
  </si>
  <si>
    <t>Urzędy gmin (miast i miast na prawach powiatu)</t>
  </si>
  <si>
    <t>6 004 000,00</t>
  </si>
  <si>
    <t>5 998 000,00</t>
  </si>
  <si>
    <t>4 300 000,00</t>
  </si>
  <si>
    <t>1 698 000,00</t>
  </si>
  <si>
    <t>270 000,00</t>
  </si>
  <si>
    <t>3020</t>
  </si>
  <si>
    <t>Wydatki osobowe niezaliczone do wynagrodzeń</t>
  </si>
  <si>
    <t>4010</t>
  </si>
  <si>
    <t>Wynagrodzenia osobowe pracowników</t>
  </si>
  <si>
    <t>3 344 755,00</t>
  </si>
  <si>
    <t>4040</t>
  </si>
  <si>
    <t>Dodatkowe wynagrodzenie roczne</t>
  </si>
  <si>
    <t>227 000,00</t>
  </si>
  <si>
    <t>4110</t>
  </si>
  <si>
    <t>Składki na ubezpieczenia społeczne</t>
  </si>
  <si>
    <t>585 452,00</t>
  </si>
  <si>
    <t>4120</t>
  </si>
  <si>
    <t>Składki na Fundusz Pracy</t>
  </si>
  <si>
    <t>92 793,00</t>
  </si>
  <si>
    <t>4140</t>
  </si>
  <si>
    <t>Wpłaty na Państwowy Fundusz Rehabilitacji Osób Niepełnosprawnych</t>
  </si>
  <si>
    <t>60 000,00</t>
  </si>
  <si>
    <t>50 000,00</t>
  </si>
  <si>
    <t>455 500,00</t>
  </si>
  <si>
    <t>105 000,00</t>
  </si>
  <si>
    <t>150 000,00</t>
  </si>
  <si>
    <t>4280</t>
  </si>
  <si>
    <t>Zakup usług zdrowotnych</t>
  </si>
  <si>
    <t>533 561,00</t>
  </si>
  <si>
    <t>4350</t>
  </si>
  <si>
    <t>Zakup usług dostępu do sieci Internet</t>
  </si>
  <si>
    <t>4360</t>
  </si>
  <si>
    <t>Opłaty z tytułu zakupu usług telekomunikacyjnych świadczonych w ruchomej publicznej sieci telefonicznej</t>
  </si>
  <si>
    <t>4370</t>
  </si>
  <si>
    <t>Opłata z tytułu zakupu usług telekomunikacyjnych świadczonych w stacjonarnej publicznej sieci telefonicznej.</t>
  </si>
  <si>
    <t>65 000,00</t>
  </si>
  <si>
    <t>4380</t>
  </si>
  <si>
    <t>Zakup usług obejmujacych tłumaczenia</t>
  </si>
  <si>
    <t>5 000,00</t>
  </si>
  <si>
    <t>4390</t>
  </si>
  <si>
    <t>Zakup usług obejmujących wykonanie ekspertyz, analiz i opinii</t>
  </si>
  <si>
    <t>55 000,00</t>
  </si>
  <si>
    <t>4440</t>
  </si>
  <si>
    <t>Odpisy na zakładowy fundusz świadczeń socjalnych</t>
  </si>
  <si>
    <t>73 000,00</t>
  </si>
  <si>
    <t>10 939,00</t>
  </si>
  <si>
    <t>100 000,00</t>
  </si>
  <si>
    <t>75075</t>
  </si>
  <si>
    <t>380 000,00</t>
  </si>
  <si>
    <t>25 000,00</t>
  </si>
  <si>
    <t>355 000,00</t>
  </si>
  <si>
    <t>90 000,00</t>
  </si>
  <si>
    <t>232 500,00</t>
  </si>
  <si>
    <t>3 000,00</t>
  </si>
  <si>
    <t>4420</t>
  </si>
  <si>
    <t>Podróże służbowe zagraniczne</t>
  </si>
  <si>
    <t>754</t>
  </si>
  <si>
    <t>1 025 734,00</t>
  </si>
  <si>
    <t>325 734,00</t>
  </si>
  <si>
    <t>286 144,00</t>
  </si>
  <si>
    <t>38 500,00</t>
  </si>
  <si>
    <t>247 644,00</t>
  </si>
  <si>
    <t>39 590,00</t>
  </si>
  <si>
    <t>700 000,00</t>
  </si>
  <si>
    <t>570 000,00</t>
  </si>
  <si>
    <t>75404</t>
  </si>
  <si>
    <t>Komendy wojewódzkie Policji</t>
  </si>
  <si>
    <t>3000</t>
  </si>
  <si>
    <t>Wpłaty jednostek na państwowy fundusz celowy</t>
  </si>
  <si>
    <t>75412</t>
  </si>
  <si>
    <t>Ochotnicze straże pożarne</t>
  </si>
  <si>
    <t>966 390,00</t>
  </si>
  <si>
    <t>266 390,00</t>
  </si>
  <si>
    <t>227 700,00</t>
  </si>
  <si>
    <t>189 200,00</t>
  </si>
  <si>
    <t>38 690,00</t>
  </si>
  <si>
    <t>2 000,00</t>
  </si>
  <si>
    <t>500,00</t>
  </si>
  <si>
    <t>36 000,00</t>
  </si>
  <si>
    <t>70 100,00</t>
  </si>
  <si>
    <t>14 000,00</t>
  </si>
  <si>
    <t>9 400,00</t>
  </si>
  <si>
    <t>14 800,00</t>
  </si>
  <si>
    <t>12 000,00</t>
  </si>
  <si>
    <t>7 400,00</t>
  </si>
  <si>
    <t>285 000,00</t>
  </si>
  <si>
    <t>6230</t>
  </si>
  <si>
    <t>Dotacje celowe z budżetu na finansowanie lub dofinansowanie kosztów realizacji inwestycji i zakupów inwestycyjnych jednostek nie zaliczanych do sektora finansów publicznych</t>
  </si>
  <si>
    <t>120 000,00</t>
  </si>
  <si>
    <t>75414</t>
  </si>
  <si>
    <t>9 344,00</t>
  </si>
  <si>
    <t>8 444,00</t>
  </si>
  <si>
    <t>900,00</t>
  </si>
  <si>
    <t>4 444,00</t>
  </si>
  <si>
    <t>756</t>
  </si>
  <si>
    <t>Dochody od osób prawnych, od osób fizycznych i od innych jednostek nieposiadających osobowości prawnej oraz wydatki związane z ich poborem</t>
  </si>
  <si>
    <t>99 000,00</t>
  </si>
  <si>
    <t>77 500,00</t>
  </si>
  <si>
    <t>21 500,00</t>
  </si>
  <si>
    <t>75647</t>
  </si>
  <si>
    <t>Pobór podatków, opłat i niepodatkowych należności budżetowych</t>
  </si>
  <si>
    <t>4100</t>
  </si>
  <si>
    <t>Wynagrodzenia agencyjno-prowizyjne</t>
  </si>
  <si>
    <t>68 000,00</t>
  </si>
  <si>
    <t>8 000,00</t>
  </si>
  <si>
    <t>1 500,00</t>
  </si>
  <si>
    <t>757</t>
  </si>
  <si>
    <t>1 086 680,00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</si>
  <si>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</si>
  <si>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</si>
  <si>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</si>
  <si>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</si>
  <si>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</si>
  <si>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</si>
  <si>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565 000,00</t>
  </si>
  <si>
    <t>75818</t>
  </si>
  <si>
    <t>4810</t>
  </si>
  <si>
    <t>Rezerwy</t>
  </si>
  <si>
    <t>801</t>
  </si>
  <si>
    <t>Oświata i wychowanie</t>
  </si>
  <si>
    <t>19 806 583,00</t>
  </si>
  <si>
    <t>16 793 017,00</t>
  </si>
  <si>
    <t>13 298 211,00</t>
  </si>
  <si>
    <t>3 494 806,00</t>
  </si>
  <si>
    <t>2 029 200,00</t>
  </si>
  <si>
    <t>376 796,00</t>
  </si>
  <si>
    <t>607 570,00</t>
  </si>
  <si>
    <t>80101</t>
  </si>
  <si>
    <t>9 752 684,00</t>
  </si>
  <si>
    <t>9 565 084,00</t>
  </si>
  <si>
    <t>7 680 200,00</t>
  </si>
  <si>
    <t>1 884 884,00</t>
  </si>
  <si>
    <t>187 600,00</t>
  </si>
  <si>
    <t>5 847 480,00</t>
  </si>
  <si>
    <t>444 500,00</t>
  </si>
  <si>
    <t>1 217 200,00</t>
  </si>
  <si>
    <t>167 000,00</t>
  </si>
  <si>
    <t>4 020,00</t>
  </si>
  <si>
    <t>406 180,00</t>
  </si>
  <si>
    <t>4240</t>
  </si>
  <si>
    <t>Zakup pomocy naukowych, dydaktycznych i książek</t>
  </si>
  <si>
    <t>37 800,00</t>
  </si>
  <si>
    <t>568 282,00</t>
  </si>
  <si>
    <t>11 000,00</t>
  </si>
  <si>
    <t>18 700,00</t>
  </si>
  <si>
    <t>348 434,00</t>
  </si>
  <si>
    <t>11 100,00</t>
  </si>
  <si>
    <t>23 000,00</t>
  </si>
  <si>
    <t>15 400,00</t>
  </si>
  <si>
    <t>13 370,00</t>
  </si>
  <si>
    <t>427 618,00</t>
  </si>
  <si>
    <t>80103</t>
  </si>
  <si>
    <t>676 637,00</t>
  </si>
  <si>
    <t>659 585,00</t>
  </si>
  <si>
    <t>621 140,00</t>
  </si>
  <si>
    <t>38 445,00</t>
  </si>
  <si>
    <t>17 052,00</t>
  </si>
  <si>
    <t>483 900,00</t>
  </si>
  <si>
    <t>29 600,00</t>
  </si>
  <si>
    <t>94 650,00</t>
  </si>
  <si>
    <t>12 990,00</t>
  </si>
  <si>
    <t>4 775,00</t>
  </si>
  <si>
    <t>33 670,00</t>
  </si>
  <si>
    <t>80104</t>
  </si>
  <si>
    <t>2 108 060,00</t>
  </si>
  <si>
    <t>78 860,00</t>
  </si>
  <si>
    <t>18 860,00</t>
  </si>
  <si>
    <t>2540</t>
  </si>
  <si>
    <t>Dotacja podmiotowa z budżetu dla niepublicznej jednostki systemu oświaty</t>
  </si>
  <si>
    <t>80110</t>
  </si>
  <si>
    <t>Gimnazja</t>
  </si>
  <si>
    <t>5 324 309,00</t>
  </si>
  <si>
    <t>5 269 565,00</t>
  </si>
  <si>
    <t>4 207 500,00</t>
  </si>
  <si>
    <t>1 062 065,00</t>
  </si>
  <si>
    <t>54 744,00</t>
  </si>
  <si>
    <t>3 239 300,00</t>
  </si>
  <si>
    <t>248 000,00</t>
  </si>
  <si>
    <t>633 300,00</t>
  </si>
  <si>
    <t>86 900,00</t>
  </si>
  <si>
    <t>270 110,00</t>
  </si>
  <si>
    <t>21 600,00</t>
  </si>
  <si>
    <t>272 022,00</t>
  </si>
  <si>
    <t>7 500,00</t>
  </si>
  <si>
    <t>13 600,00</t>
  </si>
  <si>
    <t>208 668,00</t>
  </si>
  <si>
    <t>5 400,00</t>
  </si>
  <si>
    <t>10 500,00</t>
  </si>
  <si>
    <t>10 200,00</t>
  </si>
  <si>
    <t>11 410,00</t>
  </si>
  <si>
    <t>228 055,00</t>
  </si>
  <si>
    <t>80113</t>
  </si>
  <si>
    <t>172 000,00</t>
  </si>
  <si>
    <t>80114</t>
  </si>
  <si>
    <t>Zespoły obsługi ekonomiczno-administracyjnej szkół</t>
  </si>
  <si>
    <t>753 289,00</t>
  </si>
  <si>
    <t>750 789,00</t>
  </si>
  <si>
    <t>631 411,00</t>
  </si>
  <si>
    <t>119 378,00</t>
  </si>
  <si>
    <t>470 000,00</t>
  </si>
  <si>
    <t>36 540,00</t>
  </si>
  <si>
    <t>106 071,00</t>
  </si>
  <si>
    <t>11 800,00</t>
  </si>
  <si>
    <t>7 000,00</t>
  </si>
  <si>
    <t>9 874,00</t>
  </si>
  <si>
    <t>3 500,00</t>
  </si>
  <si>
    <t>1 200,00</t>
  </si>
  <si>
    <t>1 800,00</t>
  </si>
  <si>
    <t>5 100,00</t>
  </si>
  <si>
    <t>20 904,00</t>
  </si>
  <si>
    <t>80148</t>
  </si>
  <si>
    <t>156 902,00</t>
  </si>
  <si>
    <t>154 902,00</t>
  </si>
  <si>
    <t>137 100,00</t>
  </si>
  <si>
    <t>17 802,00</t>
  </si>
  <si>
    <t>94 000,00</t>
  </si>
  <si>
    <t>11 500,00</t>
  </si>
  <si>
    <t>27 800,00</t>
  </si>
  <si>
    <t>3 800,00</t>
  </si>
  <si>
    <t>4 500,00</t>
  </si>
  <si>
    <t>6 602,00</t>
  </si>
  <si>
    <t>80195</t>
  </si>
  <si>
    <t>862 702,00</t>
  </si>
  <si>
    <t>142 232,00</t>
  </si>
  <si>
    <t>140 232,00</t>
  </si>
  <si>
    <t>112 900,00</t>
  </si>
  <si>
    <t>3240</t>
  </si>
  <si>
    <t>Stypendia dla uczniów</t>
  </si>
  <si>
    <t>4017</t>
  </si>
  <si>
    <t>39 559,00</t>
  </si>
  <si>
    <t>4019</t>
  </si>
  <si>
    <t>6 981,00</t>
  </si>
  <si>
    <t>4117</t>
  </si>
  <si>
    <t>8 156,00</t>
  </si>
  <si>
    <t>4119</t>
  </si>
  <si>
    <t>350,00</t>
  </si>
  <si>
    <t>4127</t>
  </si>
  <si>
    <t>1 323,00</t>
  </si>
  <si>
    <t>4129</t>
  </si>
  <si>
    <t>233,00</t>
  </si>
  <si>
    <t>4177</t>
  </si>
  <si>
    <t>464 382,00</t>
  </si>
  <si>
    <t>4179</t>
  </si>
  <si>
    <t>81 950,00</t>
  </si>
  <si>
    <t>4217</t>
  </si>
  <si>
    <t>3 940,00</t>
  </si>
  <si>
    <t>4219</t>
  </si>
  <si>
    <t>696,00</t>
  </si>
  <si>
    <t>139 732,00</t>
  </si>
  <si>
    <t>851</t>
  </si>
  <si>
    <t>Ochrona zdrowia</t>
  </si>
  <si>
    <t>460 000,00</t>
  </si>
  <si>
    <t>162 800,00</t>
  </si>
  <si>
    <t>297 200,00</t>
  </si>
  <si>
    <t>85121</t>
  </si>
  <si>
    <t>Lecznictwo ambulatoryjne</t>
  </si>
  <si>
    <t>85153</t>
  </si>
  <si>
    <t>27 200,00</t>
  </si>
  <si>
    <t>12 800,00</t>
  </si>
  <si>
    <t>2 360,00</t>
  </si>
  <si>
    <t>600,00</t>
  </si>
  <si>
    <t>24 240,00</t>
  </si>
  <si>
    <t>7 800,00</t>
  </si>
  <si>
    <t>800,00</t>
  </si>
  <si>
    <t>200,00</t>
  </si>
  <si>
    <t>85154</t>
  </si>
  <si>
    <t>300 000,00</t>
  </si>
  <si>
    <t>135 600,00</t>
  </si>
  <si>
    <t>164 400,00</t>
  </si>
  <si>
    <t>120 800,00</t>
  </si>
  <si>
    <t>50 400,00</t>
  </si>
  <si>
    <t>81 000,00</t>
  </si>
  <si>
    <t>13 000,00</t>
  </si>
  <si>
    <t>852</t>
  </si>
  <si>
    <t>Pomoc społeczna</t>
  </si>
  <si>
    <t>3 534 068,00</t>
  </si>
  <si>
    <t>1 782 068,00</t>
  </si>
  <si>
    <t>632 764,00</t>
  </si>
  <si>
    <t>1 149 304,00</t>
  </si>
  <si>
    <t>1 752 000,00</t>
  </si>
  <si>
    <t>85202</t>
  </si>
  <si>
    <t>Domy pomocy społecznej</t>
  </si>
  <si>
    <t>288 600,00</t>
  </si>
  <si>
    <t>4330</t>
  </si>
  <si>
    <t>Zakup usług przez jednostki samorządu terytorialnego od innych jednostek samorządu terytorialnego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</si>
  <si>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</si>
  <si>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</si>
  <si>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38 600,00</t>
  </si>
  <si>
    <t>4130</t>
  </si>
  <si>
    <t>Składki na ubezpieczenie zdrowotne</t>
  </si>
  <si>
    <t>85214</t>
  </si>
  <si>
    <t>Zasiłki i pomoc w naturze oraz składki na ubezpieczenia emerytalne i rentowe</t>
  </si>
  <si>
    <t>510 200,00</t>
  </si>
  <si>
    <t>509 000,00</t>
  </si>
  <si>
    <t>3110</t>
  </si>
  <si>
    <t>Świadczenia społeczne</t>
  </si>
  <si>
    <t>85215</t>
  </si>
  <si>
    <t>530 000,00</t>
  </si>
  <si>
    <t>85216</t>
  </si>
  <si>
    <t>465 000,00</t>
  </si>
  <si>
    <t>85219</t>
  </si>
  <si>
    <t>Ośrodki pomocy społecznej</t>
  </si>
  <si>
    <t>724 668,00</t>
  </si>
  <si>
    <t>704 668,00</t>
  </si>
  <si>
    <t>594 164,00</t>
  </si>
  <si>
    <t>110 504,00</t>
  </si>
  <si>
    <t>462 000,00</t>
  </si>
  <si>
    <t>36 400,00</t>
  </si>
  <si>
    <t>75 444,00</t>
  </si>
  <si>
    <t>12 100,00</t>
  </si>
  <si>
    <t>8 220,00</t>
  </si>
  <si>
    <t>28 500,00</t>
  </si>
  <si>
    <t>15 500,00</t>
  </si>
  <si>
    <t>29 014,00</t>
  </si>
  <si>
    <t>840,00</t>
  </si>
  <si>
    <t>3 200,00</t>
  </si>
  <si>
    <t>250,00</t>
  </si>
  <si>
    <t>85220</t>
  </si>
  <si>
    <t>Jednostki specjalistycznego poradnictwa, mieszkania chronione i ośrodki interwencji kryzysowej</t>
  </si>
  <si>
    <t>9 000,00</t>
  </si>
  <si>
    <t>85228</t>
  </si>
  <si>
    <t>Usługi opiekuńcze i specjalistyczne usługi opiekuńcze</t>
  </si>
  <si>
    <t>740 000,00</t>
  </si>
  <si>
    <t>85295</t>
  </si>
  <si>
    <t>228 000,00</t>
  </si>
  <si>
    <t>854</t>
  </si>
  <si>
    <t>646 933,00</t>
  </si>
  <si>
    <t>633 323,00</t>
  </si>
  <si>
    <t>540 670,00</t>
  </si>
  <si>
    <t>92 653,00</t>
  </si>
  <si>
    <t>13 610,00</t>
  </si>
  <si>
    <t>85401</t>
  </si>
  <si>
    <t>Świetlice szkolne</t>
  </si>
  <si>
    <t>562 933,00</t>
  </si>
  <si>
    <t>549 323,00</t>
  </si>
  <si>
    <t>515 670,00</t>
  </si>
  <si>
    <t>33 653,00</t>
  </si>
  <si>
    <t>398 500,00</t>
  </si>
  <si>
    <t>29 800,00</t>
  </si>
  <si>
    <t>76 050,00</t>
  </si>
  <si>
    <t>11 320,00</t>
  </si>
  <si>
    <t>3 942,00</t>
  </si>
  <si>
    <t>29 711,00</t>
  </si>
  <si>
    <t>85412</t>
  </si>
  <si>
    <t>Kolonie i obozy oraz inne formy wypoczynku dzieci i młodzieży szkolnej, a także szkolenia młodzieży</t>
  </si>
  <si>
    <t>75 000,00</t>
  </si>
  <si>
    <t>49 000,00</t>
  </si>
  <si>
    <t>85495</t>
  </si>
  <si>
    <t>900</t>
  </si>
  <si>
    <t>Gospodarka komunalna i ochrona środowiska</t>
  </si>
  <si>
    <t>5 717 500,00</t>
  </si>
  <si>
    <t>2 748 500,00</t>
  </si>
  <si>
    <t>2 663 500,00</t>
  </si>
  <si>
    <t>2 969 000,00</t>
  </si>
  <si>
    <t>1 700 000,00</t>
  </si>
  <si>
    <t>1 100 000,00</t>
  </si>
  <si>
    <t>1 269 000,00</t>
  </si>
  <si>
    <t>90001</t>
  </si>
  <si>
    <t>880 000,00</t>
  </si>
  <si>
    <t>180 000,00</t>
  </si>
  <si>
    <t>115 000,00</t>
  </si>
  <si>
    <t>350 000,00</t>
  </si>
  <si>
    <t>90002</t>
  </si>
  <si>
    <t>90003</t>
  </si>
  <si>
    <t>90004</t>
  </si>
  <si>
    <t>Utrzymanie zieleni w miastach i gminach</t>
  </si>
  <si>
    <t>90013</t>
  </si>
  <si>
    <t>70 000,00</t>
  </si>
  <si>
    <t>90015</t>
  </si>
  <si>
    <t>2 000 000,00</t>
  </si>
  <si>
    <t>1 600 000,00</t>
  </si>
  <si>
    <t>400 000,00</t>
  </si>
  <si>
    <t>1 500 000,00</t>
  </si>
  <si>
    <t>280 000,00</t>
  </si>
  <si>
    <t>90095</t>
  </si>
  <si>
    <t>798 500,00</t>
  </si>
  <si>
    <t>198 500,00</t>
  </si>
  <si>
    <t>113 500,00</t>
  </si>
  <si>
    <t>600 000,00</t>
  </si>
  <si>
    <t>18 500,00</t>
  </si>
  <si>
    <t>95 000,00</t>
  </si>
  <si>
    <t>921</t>
  </si>
  <si>
    <t>1 485 500,00</t>
  </si>
  <si>
    <t>181 200,00</t>
  </si>
  <si>
    <t>1 304 300,00</t>
  </si>
  <si>
    <t>92105</t>
  </si>
  <si>
    <t>49 500,00</t>
  </si>
  <si>
    <t>40 100,00</t>
  </si>
  <si>
    <t>92113</t>
  </si>
  <si>
    <t>1 000 000,00</t>
  </si>
  <si>
    <t>2480</t>
  </si>
  <si>
    <t>Dotacja podmiotowa z budżetu dla samorządowej instytucji kultury</t>
  </si>
  <si>
    <t>92116</t>
  </si>
  <si>
    <t>Biblioteki</t>
  </si>
  <si>
    <t>304 300,00</t>
  </si>
  <si>
    <t>92195</t>
  </si>
  <si>
    <t>131 700,00</t>
  </si>
  <si>
    <t>56 300,00</t>
  </si>
  <si>
    <t>41 700,00</t>
  </si>
  <si>
    <t>20 900,00</t>
  </si>
  <si>
    <t>926</t>
  </si>
  <si>
    <t>Kultura fizyczna</t>
  </si>
  <si>
    <t>1 156 000,00</t>
  </si>
  <si>
    <t>956 000,00</t>
  </si>
  <si>
    <t>200 000,00</t>
  </si>
  <si>
    <t>92601</t>
  </si>
  <si>
    <t>2650</t>
  </si>
  <si>
    <t>Dotacja przedmiotowa z budżetu dla samorządowego zakładu budżetowego</t>
  </si>
  <si>
    <t>92605</t>
  </si>
  <si>
    <t>Zadania w zakresie kultury fizycznej</t>
  </si>
  <si>
    <t>456 000,00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</si>
  <si>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</si>
  <si>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</si>
  <si>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43 948 798,00</t>
  </si>
  <si>
    <t>19 182 945,00</t>
  </si>
  <si>
    <t>2 507 996,00</t>
  </si>
  <si>
    <t>6 020 000,00</t>
  </si>
  <si>
    <t>1 929 000,00</t>
  </si>
  <si>
    <t>Zlecone</t>
  </si>
  <si>
    <t>125 324,00</t>
  </si>
  <si>
    <t>75011</t>
  </si>
  <si>
    <t>Urzędy wojewódzkie</t>
  </si>
  <si>
    <t>751</t>
  </si>
  <si>
    <t>Urzędy naczelnych organów władzy państwowej, kontroli i ochrony prawa oraz sądownictwa</t>
  </si>
  <si>
    <t>3 720,00</t>
  </si>
  <si>
    <t>75101</t>
  </si>
  <si>
    <t>Urzędy naczelnych organów władzy państwowej, kontroli i ochrony prawa</t>
  </si>
  <si>
    <t>474,00</t>
  </si>
  <si>
    <t>77,00</t>
  </si>
  <si>
    <t>3 169,00</t>
  </si>
  <si>
    <t>752</t>
  </si>
  <si>
    <t>400,00</t>
  </si>
  <si>
    <t>75212</t>
  </si>
  <si>
    <t>4 090 000,00</t>
  </si>
  <si>
    <t>169 720,00</t>
  </si>
  <si>
    <t>118 250,00</t>
  </si>
  <si>
    <t>51 470,00</t>
  </si>
  <si>
    <t>3 920 280,00</t>
  </si>
  <si>
    <t>85212</t>
  </si>
  <si>
    <t>Świadczenia rodzinne, świadczenia z funduszu alimentacyjneego oraz składki na ubezpieczenia emerytalne i rentowe z ubezpieczenia społecznego</t>
  </si>
  <si>
    <t>4 086 000,00</t>
  </si>
  <si>
    <t>165 720,00</t>
  </si>
  <si>
    <t>114 250,00</t>
  </si>
  <si>
    <t>56 000,00</t>
  </si>
  <si>
    <t>5 343,00</t>
  </si>
  <si>
    <t>51 516,00</t>
  </si>
  <si>
    <t>1 391,00</t>
  </si>
  <si>
    <t>13 560,00</t>
  </si>
  <si>
    <t>7 260,00</t>
  </si>
  <si>
    <t>23 484,00</t>
  </si>
  <si>
    <t>300,00</t>
  </si>
  <si>
    <t>70,00</t>
  </si>
  <si>
    <t>2 096,00</t>
  </si>
  <si>
    <t>1 100,00</t>
  </si>
  <si>
    <t>4 220 444,00</t>
  </si>
  <si>
    <t>300 164,00</t>
  </si>
  <si>
    <t>247 294,00</t>
  </si>
  <si>
    <t>52 870,00</t>
  </si>
  <si>
    <t>do uchwały nr   VII/35/2011</t>
  </si>
  <si>
    <t>O870</t>
  </si>
  <si>
    <t xml:space="preserve">Wpływy ze sprzedaży składników majątkowych </t>
  </si>
  <si>
    <t>zakup samochodu osobowego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</si>
</sst>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0.0%"/>
    <numFmt numFmtId="172" formatCode="#,##0.0"/>
    <numFmt numFmtId="173" formatCode="_-* #,##0.0000\ _z_ł_-;\-* #,##0.0000\ _z_ł_-;_-* &quot;-&quot;??\ _z_ł_-;_-@_-"/>
    <numFmt numFmtId="174" formatCode="0.000%"/>
    <numFmt numFmtId="175" formatCode="0.0000%"/>
    <numFmt numFmtId="176" formatCode="0####"/>
    <numFmt numFmtId="177" formatCode="#,##0.00_ ;\-#,##0.00\ "/>
    <numFmt numFmtId="178" formatCode="00###"/>
    <numFmt numFmtId="179" formatCode="0###"/>
    <numFmt numFmtId="180" formatCode="_-* #,##0.0\ _z_ł_-;\-* #,##0.0\ _z_ł_-;_-* &quot;-&quot;?\ _z_ł_-;_-@_-"/>
    <numFmt numFmtId="181" formatCode="#,##0.000"/>
    <numFmt numFmtId="182" formatCode="#,##0.0000"/>
    <numFmt numFmtId="183" formatCode="00##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name val="Arial CE"/>
      <family val="0"/>
    </font>
    <font>
      <sz val="8"/>
      <name val="Arial"/>
      <family val="2"/>
    </font>
    <font>
      <b/>
      <i/>
      <sz val="10"/>
      <name val="Arial"/>
      <family val="2"/>
    </font>
    <font>
      <sz val="9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8"/>
      <name val="Arial CE"/>
      <family val="0"/>
    </font>
    <font>
      <i/>
      <sz val="11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3" fillId="0" borderId="7" xfId="0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top" wrapText="1"/>
    </xf>
    <xf numFmtId="169" fontId="8" fillId="0" borderId="0" xfId="0" applyNumberFormat="1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69" fontId="8" fillId="0" borderId="4" xfId="15" applyNumberFormat="1" applyFont="1" applyBorder="1" applyAlignment="1">
      <alignment vertical="top" wrapText="1"/>
    </xf>
    <xf numFmtId="0" fontId="0" fillId="0" borderId="8" xfId="0" applyFont="1" applyBorder="1" applyAlignment="1">
      <alignment vertical="center"/>
    </xf>
    <xf numFmtId="169" fontId="0" fillId="0" borderId="0" xfId="0" applyNumberForma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18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10" fillId="0" borderId="9" xfId="15" applyNumberFormat="1" applyFont="1" applyBorder="1" applyAlignment="1">
      <alignment vertical="center" wrapText="1"/>
    </xf>
    <xf numFmtId="3" fontId="8" fillId="0" borderId="10" xfId="15" applyNumberFormat="1" applyFont="1" applyBorder="1" applyAlignment="1">
      <alignment vertical="center" wrapText="1"/>
    </xf>
    <xf numFmtId="3" fontId="8" fillId="0" borderId="4" xfId="15" applyNumberFormat="1" applyFont="1" applyBorder="1" applyAlignment="1">
      <alignment vertical="center" wrapText="1"/>
    </xf>
    <xf numFmtId="3" fontId="17" fillId="0" borderId="10" xfId="15" applyNumberFormat="1" applyFont="1" applyBorder="1" applyAlignment="1">
      <alignment vertical="center" wrapText="1"/>
    </xf>
    <xf numFmtId="3" fontId="8" fillId="0" borderId="3" xfId="15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6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10" fillId="0" borderId="9" xfId="0" applyNumberFormat="1" applyFont="1" applyBorder="1" applyAlignment="1">
      <alignment vertical="center" wrapText="1"/>
    </xf>
    <xf numFmtId="3" fontId="8" fillId="0" borderId="9" xfId="15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3" fontId="15" fillId="0" borderId="19" xfId="15" applyNumberFormat="1" applyFont="1" applyBorder="1" applyAlignment="1">
      <alignment vertical="center" wrapText="1"/>
    </xf>
    <xf numFmtId="3" fontId="8" fillId="0" borderId="3" xfId="0" applyNumberFormat="1" applyFont="1" applyFill="1" applyBorder="1" applyAlignment="1">
      <alignment vertical="center" wrapText="1"/>
    </xf>
    <xf numFmtId="3" fontId="8" fillId="0" borderId="3" xfId="15" applyNumberFormat="1" applyFont="1" applyFill="1" applyBorder="1" applyAlignment="1">
      <alignment vertical="center" wrapText="1"/>
    </xf>
    <xf numFmtId="3" fontId="15" fillId="0" borderId="5" xfId="15" applyNumberFormat="1" applyFont="1" applyBorder="1" applyAlignment="1">
      <alignment vertical="center" wrapText="1"/>
    </xf>
    <xf numFmtId="3" fontId="10" fillId="0" borderId="3" xfId="15" applyNumberFormat="1" applyFont="1" applyBorder="1" applyAlignment="1">
      <alignment vertical="center" wrapText="1"/>
    </xf>
    <xf numFmtId="3" fontId="15" fillId="0" borderId="1" xfId="15" applyNumberFormat="1" applyFont="1" applyBorder="1" applyAlignment="1">
      <alignment vertical="center" wrapText="1"/>
    </xf>
    <xf numFmtId="176" fontId="10" fillId="0" borderId="8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vertical="center" wrapText="1"/>
    </xf>
    <xf numFmtId="3" fontId="10" fillId="0" borderId="8" xfId="15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vertical="center" wrapText="1"/>
    </xf>
    <xf numFmtId="176" fontId="10" fillId="0" borderId="3" xfId="0" applyNumberFormat="1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vertical="center" wrapText="1"/>
    </xf>
    <xf numFmtId="176" fontId="15" fillId="0" borderId="2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0" borderId="2" xfId="15" applyNumberFormat="1" applyFont="1" applyBorder="1" applyAlignment="1">
      <alignment vertical="center" wrapText="1"/>
    </xf>
    <xf numFmtId="176" fontId="8" fillId="0" borderId="3" xfId="15" applyNumberFormat="1" applyFont="1" applyBorder="1" applyAlignment="1">
      <alignment horizontal="right" vertical="center" wrapText="1"/>
    </xf>
    <xf numFmtId="176" fontId="8" fillId="0" borderId="10" xfId="15" applyNumberFormat="1" applyFont="1" applyBorder="1" applyAlignment="1">
      <alignment horizontal="right" vertical="center" wrapText="1"/>
    </xf>
    <xf numFmtId="3" fontId="17" fillId="0" borderId="3" xfId="15" applyNumberFormat="1" applyFont="1" applyBorder="1" applyAlignment="1">
      <alignment vertical="center" wrapText="1"/>
    </xf>
    <xf numFmtId="3" fontId="10" fillId="0" borderId="20" xfId="15" applyNumberFormat="1" applyFont="1" applyBorder="1" applyAlignment="1">
      <alignment horizontal="center" vertical="center" wrapText="1"/>
    </xf>
    <xf numFmtId="176" fontId="15" fillId="0" borderId="5" xfId="15" applyNumberFormat="1" applyFont="1" applyBorder="1" applyAlignment="1">
      <alignment horizontal="right" vertical="center" wrapText="1"/>
    </xf>
    <xf numFmtId="176" fontId="10" fillId="0" borderId="3" xfId="15" applyNumberFormat="1" applyFont="1" applyBorder="1" applyAlignment="1">
      <alignment horizontal="right" vertical="center" wrapText="1"/>
    </xf>
    <xf numFmtId="3" fontId="8" fillId="0" borderId="8" xfId="15" applyNumberFormat="1" applyFont="1" applyBorder="1" applyAlignment="1">
      <alignment vertical="center" wrapText="1"/>
    </xf>
    <xf numFmtId="3" fontId="8" fillId="0" borderId="3" xfId="15" applyNumberFormat="1" applyFont="1" applyBorder="1" applyAlignment="1">
      <alignment horizontal="left" vertical="center" wrapText="1"/>
    </xf>
    <xf numFmtId="3" fontId="8" fillId="0" borderId="10" xfId="15" applyNumberFormat="1" applyFont="1" applyBorder="1" applyAlignment="1">
      <alignment horizontal="left" vertical="center" wrapText="1"/>
    </xf>
    <xf numFmtId="3" fontId="8" fillId="0" borderId="10" xfId="15" applyNumberFormat="1" applyFont="1" applyFill="1" applyBorder="1" applyAlignment="1">
      <alignment vertical="center" wrapText="1"/>
    </xf>
    <xf numFmtId="3" fontId="10" fillId="0" borderId="10" xfId="15" applyNumberFormat="1" applyFont="1" applyBorder="1" applyAlignment="1">
      <alignment horizontal="left" vertical="center" wrapText="1"/>
    </xf>
    <xf numFmtId="3" fontId="10" fillId="0" borderId="10" xfId="15" applyNumberFormat="1" applyFont="1" applyBorder="1" applyAlignment="1">
      <alignment vertical="center" wrapText="1"/>
    </xf>
    <xf numFmtId="3" fontId="17" fillId="0" borderId="10" xfId="15" applyNumberFormat="1" applyFont="1" applyBorder="1" applyAlignment="1">
      <alignment horizontal="left" vertical="center" wrapText="1"/>
    </xf>
    <xf numFmtId="176" fontId="10" fillId="0" borderId="10" xfId="15" applyNumberFormat="1" applyFont="1" applyBorder="1" applyAlignment="1">
      <alignment horizontal="right" vertical="center" wrapText="1"/>
    </xf>
    <xf numFmtId="176" fontId="15" fillId="0" borderId="2" xfId="15" applyNumberFormat="1" applyFont="1" applyBorder="1" applyAlignment="1">
      <alignment horizontal="right" vertical="center" wrapText="1"/>
    </xf>
    <xf numFmtId="3" fontId="10" fillId="0" borderId="21" xfId="15" applyNumberFormat="1" applyFont="1" applyBorder="1" applyAlignment="1">
      <alignment horizontal="center" vertical="center" wrapText="1"/>
    </xf>
    <xf numFmtId="176" fontId="10" fillId="0" borderId="9" xfId="15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176" fontId="15" fillId="0" borderId="5" xfId="0" applyNumberFormat="1" applyFont="1" applyBorder="1" applyAlignment="1">
      <alignment horizontal="right" vertical="center" wrapText="1"/>
    </xf>
    <xf numFmtId="3" fontId="15" fillId="0" borderId="5" xfId="0" applyNumberFormat="1" applyFont="1" applyBorder="1" applyAlignment="1">
      <alignment vertical="center" wrapText="1"/>
    </xf>
    <xf numFmtId="3" fontId="10" fillId="0" borderId="5" xfId="15" applyNumberFormat="1" applyFont="1" applyBorder="1" applyAlignment="1">
      <alignment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vertical="center" wrapText="1"/>
    </xf>
    <xf numFmtId="3" fontId="10" fillId="0" borderId="3" xfId="15" applyNumberFormat="1" applyFont="1" applyFill="1" applyBorder="1" applyAlignment="1">
      <alignment vertical="center" wrapText="1"/>
    </xf>
    <xf numFmtId="3" fontId="10" fillId="0" borderId="10" xfId="15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vertical="center" wrapText="1"/>
    </xf>
    <xf numFmtId="3" fontId="17" fillId="0" borderId="3" xfId="0" applyNumberFormat="1" applyFont="1" applyBorder="1" applyAlignment="1">
      <alignment vertical="center" wrapText="1"/>
    </xf>
    <xf numFmtId="3" fontId="21" fillId="0" borderId="3" xfId="15" applyNumberFormat="1" applyFont="1" applyBorder="1" applyAlignment="1">
      <alignment vertical="center" wrapText="1"/>
    </xf>
    <xf numFmtId="3" fontId="14" fillId="0" borderId="24" xfId="15" applyNumberFormat="1" applyFont="1" applyBorder="1" applyAlignment="1">
      <alignment horizontal="center" vertical="center" wrapText="1"/>
    </xf>
    <xf numFmtId="3" fontId="14" fillId="0" borderId="0" xfId="15" applyNumberFormat="1" applyFont="1" applyBorder="1" applyAlignment="1">
      <alignment horizontal="right" vertical="center" wrapText="1"/>
    </xf>
    <xf numFmtId="3" fontId="15" fillId="0" borderId="25" xfId="0" applyNumberFormat="1" applyFont="1" applyBorder="1" applyAlignment="1">
      <alignment horizontal="right" vertical="center" wrapText="1"/>
    </xf>
    <xf numFmtId="3" fontId="15" fillId="0" borderId="25" xfId="0" applyNumberFormat="1" applyFont="1" applyBorder="1" applyAlignment="1">
      <alignment vertical="center" wrapText="1"/>
    </xf>
    <xf numFmtId="3" fontId="15" fillId="0" borderId="25" xfId="15" applyNumberFormat="1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3" fontId="3" fillId="0" borderId="1" xfId="15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15" applyNumberFormat="1" applyFont="1" applyBorder="1" applyAlignment="1">
      <alignment vertical="center"/>
    </xf>
    <xf numFmtId="3" fontId="0" fillId="0" borderId="4" xfId="15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3" fillId="0" borderId="3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3" fontId="8" fillId="0" borderId="21" xfId="15" applyNumberFormat="1" applyFont="1" applyBorder="1" applyAlignment="1">
      <alignment horizontal="center" vertical="center" wrapText="1"/>
    </xf>
    <xf numFmtId="178" fontId="15" fillId="0" borderId="5" xfId="15" applyNumberFormat="1" applyFont="1" applyBorder="1" applyAlignment="1">
      <alignment horizontal="right" vertical="center" wrapText="1"/>
    </xf>
    <xf numFmtId="178" fontId="10" fillId="0" borderId="3" xfId="15" applyNumberFormat="1" applyFont="1" applyBorder="1" applyAlignment="1">
      <alignment horizontal="right" vertical="center" wrapText="1"/>
    </xf>
    <xf numFmtId="178" fontId="8" fillId="0" borderId="8" xfId="15" applyNumberFormat="1" applyFont="1" applyBorder="1" applyAlignment="1">
      <alignment horizontal="right" vertical="center" wrapText="1"/>
    </xf>
    <xf numFmtId="178" fontId="15" fillId="0" borderId="5" xfId="0" applyNumberFormat="1" applyFont="1" applyBorder="1" applyAlignment="1">
      <alignment horizontal="right" vertical="center" wrapText="1"/>
    </xf>
    <xf numFmtId="178" fontId="10" fillId="0" borderId="3" xfId="0" applyNumberFormat="1" applyFont="1" applyBorder="1" applyAlignment="1">
      <alignment horizontal="right" vertical="center" wrapText="1"/>
    </xf>
    <xf numFmtId="1" fontId="10" fillId="0" borderId="9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/>
    </xf>
    <xf numFmtId="0" fontId="23" fillId="0" borderId="0" xfId="0" applyFont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76" fontId="17" fillId="0" borderId="3" xfId="15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" xfId="0" applyFont="1" applyBorder="1" applyAlignment="1">
      <alignment/>
    </xf>
    <xf numFmtId="0" fontId="23" fillId="0" borderId="5" xfId="0" applyFont="1" applyBorder="1" applyAlignment="1">
      <alignment/>
    </xf>
    <xf numFmtId="0" fontId="23" fillId="0" borderId="23" xfId="0" applyFont="1" applyBorder="1" applyAlignment="1">
      <alignment vertical="center"/>
    </xf>
    <xf numFmtId="0" fontId="23" fillId="0" borderId="9" xfId="0" applyFont="1" applyBorder="1" applyAlignment="1">
      <alignment/>
    </xf>
    <xf numFmtId="0" fontId="6" fillId="0" borderId="3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3" fontId="8" fillId="0" borderId="38" xfId="15" applyNumberFormat="1" applyFont="1" applyBorder="1" applyAlignment="1">
      <alignment vertical="center" wrapText="1"/>
    </xf>
    <xf numFmtId="3" fontId="10" fillId="0" borderId="38" xfId="15" applyNumberFormat="1" applyFont="1" applyBorder="1" applyAlignment="1">
      <alignment vertical="center" wrapText="1"/>
    </xf>
    <xf numFmtId="3" fontId="8" fillId="0" borderId="39" xfId="15" applyNumberFormat="1" applyFont="1" applyBorder="1" applyAlignment="1">
      <alignment vertical="center" wrapText="1"/>
    </xf>
    <xf numFmtId="3" fontId="17" fillId="0" borderId="38" xfId="15" applyNumberFormat="1" applyFont="1" applyBorder="1" applyAlignment="1">
      <alignment vertical="center" wrapText="1"/>
    </xf>
    <xf numFmtId="3" fontId="15" fillId="0" borderId="40" xfId="15" applyNumberFormat="1" applyFont="1" applyBorder="1" applyAlignment="1">
      <alignment vertical="center" wrapText="1"/>
    </xf>
    <xf numFmtId="3" fontId="8" fillId="0" borderId="41" xfId="15" applyNumberFormat="1" applyFont="1" applyBorder="1" applyAlignment="1">
      <alignment vertical="center" wrapText="1"/>
    </xf>
    <xf numFmtId="3" fontId="10" fillId="0" borderId="39" xfId="15" applyNumberFormat="1" applyFont="1" applyBorder="1" applyAlignment="1">
      <alignment vertical="center" wrapText="1"/>
    </xf>
    <xf numFmtId="3" fontId="17" fillId="0" borderId="39" xfId="15" applyNumberFormat="1" applyFont="1" applyBorder="1" applyAlignment="1">
      <alignment vertical="center" wrapText="1"/>
    </xf>
    <xf numFmtId="3" fontId="10" fillId="0" borderId="40" xfId="15" applyNumberFormat="1" applyFont="1" applyBorder="1" applyAlignment="1">
      <alignment vertical="center" wrapText="1"/>
    </xf>
    <xf numFmtId="3" fontId="8" fillId="0" borderId="24" xfId="15" applyNumberFormat="1" applyFont="1" applyBorder="1" applyAlignment="1">
      <alignment vertical="center" wrapText="1"/>
    </xf>
    <xf numFmtId="3" fontId="16" fillId="0" borderId="40" xfId="15" applyNumberFormat="1" applyFont="1" applyBorder="1" applyAlignment="1">
      <alignment vertical="center" wrapText="1"/>
    </xf>
    <xf numFmtId="3" fontId="15" fillId="0" borderId="42" xfId="15" applyNumberFormat="1" applyFont="1" applyBorder="1" applyAlignment="1">
      <alignment vertical="center" wrapText="1"/>
    </xf>
    <xf numFmtId="3" fontId="4" fillId="0" borderId="4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8" fillId="0" borderId="10" xfId="0" applyFont="1" applyBorder="1" applyAlignment="1">
      <alignment/>
    </xf>
    <xf numFmtId="3" fontId="15" fillId="0" borderId="8" xfId="15" applyNumberFormat="1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3" fontId="15" fillId="0" borderId="9" xfId="15" applyNumberFormat="1" applyFont="1" applyBorder="1" applyAlignment="1">
      <alignment vertical="center" wrapText="1"/>
    </xf>
    <xf numFmtId="0" fontId="8" fillId="0" borderId="8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20" fillId="0" borderId="45" xfId="0" applyFont="1" applyFill="1" applyBorder="1" applyAlignment="1">
      <alignment horizontal="center" vertical="center" wrapText="1"/>
    </xf>
    <xf numFmtId="3" fontId="10" fillId="0" borderId="46" xfId="15" applyNumberFormat="1" applyFont="1" applyBorder="1" applyAlignment="1">
      <alignment vertical="center" wrapText="1"/>
    </xf>
    <xf numFmtId="3" fontId="10" fillId="0" borderId="47" xfId="15" applyNumberFormat="1" applyFont="1" applyBorder="1" applyAlignment="1">
      <alignment vertical="center" wrapText="1"/>
    </xf>
    <xf numFmtId="3" fontId="10" fillId="0" borderId="48" xfId="15" applyNumberFormat="1" applyFont="1" applyBorder="1" applyAlignment="1">
      <alignment vertical="center" wrapText="1"/>
    </xf>
    <xf numFmtId="3" fontId="8" fillId="0" borderId="49" xfId="15" applyNumberFormat="1" applyFont="1" applyBorder="1" applyAlignment="1">
      <alignment vertical="center" wrapText="1"/>
    </xf>
    <xf numFmtId="3" fontId="10" fillId="0" borderId="49" xfId="15" applyNumberFormat="1" applyFont="1" applyBorder="1" applyAlignment="1">
      <alignment vertical="center" wrapText="1"/>
    </xf>
    <xf numFmtId="3" fontId="8" fillId="0" borderId="50" xfId="15" applyNumberFormat="1" applyFont="1" applyBorder="1" applyAlignment="1">
      <alignment vertical="center" wrapText="1"/>
    </xf>
    <xf numFmtId="3" fontId="10" fillId="0" borderId="51" xfId="15" applyNumberFormat="1" applyFont="1" applyBorder="1" applyAlignment="1">
      <alignment vertical="center" wrapText="1"/>
    </xf>
    <xf numFmtId="3" fontId="17" fillId="0" borderId="49" xfId="15" applyNumberFormat="1" applyFont="1" applyBorder="1" applyAlignment="1">
      <alignment vertical="center" wrapText="1"/>
    </xf>
    <xf numFmtId="3" fontId="15" fillId="0" borderId="26" xfId="15" applyNumberFormat="1" applyFont="1" applyBorder="1" applyAlignment="1">
      <alignment vertical="center" wrapText="1"/>
    </xf>
    <xf numFmtId="3" fontId="15" fillId="0" borderId="27" xfId="15" applyNumberFormat="1" applyFont="1" applyBorder="1" applyAlignment="1">
      <alignment vertical="center" wrapText="1"/>
    </xf>
    <xf numFmtId="3" fontId="8" fillId="0" borderId="46" xfId="15" applyNumberFormat="1" applyFont="1" applyBorder="1" applyAlignment="1">
      <alignment vertical="center" wrapText="1"/>
    </xf>
    <xf numFmtId="3" fontId="10" fillId="0" borderId="50" xfId="15" applyNumberFormat="1" applyFont="1" applyBorder="1" applyAlignment="1">
      <alignment vertical="center" wrapText="1"/>
    </xf>
    <xf numFmtId="3" fontId="17" fillId="0" borderId="50" xfId="15" applyNumberFormat="1" applyFont="1" applyBorder="1" applyAlignment="1">
      <alignment vertical="center" wrapText="1"/>
    </xf>
    <xf numFmtId="3" fontId="17" fillId="0" borderId="52" xfId="15" applyNumberFormat="1" applyFont="1" applyBorder="1" applyAlignment="1">
      <alignment vertical="center" wrapText="1"/>
    </xf>
    <xf numFmtId="3" fontId="10" fillId="0" borderId="26" xfId="15" applyNumberFormat="1" applyFont="1" applyBorder="1" applyAlignment="1">
      <alignment vertical="center" wrapText="1"/>
    </xf>
    <xf numFmtId="3" fontId="15" fillId="0" borderId="47" xfId="15" applyNumberFormat="1" applyFont="1" applyBorder="1" applyAlignment="1">
      <alignment vertical="center" wrapText="1"/>
    </xf>
    <xf numFmtId="3" fontId="10" fillId="0" borderId="32" xfId="15" applyNumberFormat="1" applyFont="1" applyBorder="1" applyAlignment="1">
      <alignment vertical="center" wrapText="1"/>
    </xf>
    <xf numFmtId="3" fontId="8" fillId="0" borderId="32" xfId="15" applyNumberFormat="1" applyFont="1" applyBorder="1" applyAlignment="1">
      <alignment vertical="center" wrapText="1"/>
    </xf>
    <xf numFmtId="3" fontId="8" fillId="0" borderId="53" xfId="15" applyNumberFormat="1" applyFont="1" applyBorder="1" applyAlignment="1">
      <alignment vertical="center" wrapText="1"/>
    </xf>
    <xf numFmtId="3" fontId="8" fillId="0" borderId="54" xfId="15" applyNumberFormat="1" applyFont="1" applyBorder="1" applyAlignment="1">
      <alignment vertical="center" wrapText="1"/>
    </xf>
    <xf numFmtId="3" fontId="10" fillId="0" borderId="52" xfId="15" applyNumberFormat="1" applyFont="1" applyBorder="1" applyAlignment="1">
      <alignment vertical="center" wrapText="1"/>
    </xf>
    <xf numFmtId="3" fontId="21" fillId="0" borderId="49" xfId="15" applyNumberFormat="1" applyFont="1" applyBorder="1" applyAlignment="1">
      <alignment vertical="center" wrapText="1"/>
    </xf>
    <xf numFmtId="3" fontId="13" fillId="0" borderId="55" xfId="15" applyNumberFormat="1" applyFont="1" applyBorder="1" applyAlignment="1">
      <alignment vertical="center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49" fontId="28" fillId="0" borderId="58" xfId="0" applyFont="1" applyFill="1" applyBorder="1" applyAlignment="1">
      <alignment horizontal="center" vertical="center" wrapText="1"/>
    </xf>
    <xf numFmtId="3" fontId="10" fillId="0" borderId="59" xfId="15" applyNumberFormat="1" applyFont="1" applyBorder="1" applyAlignment="1">
      <alignment vertical="center" wrapText="1"/>
    </xf>
    <xf numFmtId="3" fontId="10" fillId="0" borderId="60" xfId="15" applyNumberFormat="1" applyFont="1" applyBorder="1" applyAlignment="1">
      <alignment vertical="center" wrapText="1"/>
    </xf>
    <xf numFmtId="3" fontId="8" fillId="0" borderId="61" xfId="15" applyNumberFormat="1" applyFont="1" applyBorder="1" applyAlignment="1">
      <alignment vertical="center" wrapText="1"/>
    </xf>
    <xf numFmtId="3" fontId="8" fillId="0" borderId="51" xfId="15" applyNumberFormat="1" applyFont="1" applyBorder="1" applyAlignment="1">
      <alignment vertical="center" wrapText="1"/>
    </xf>
    <xf numFmtId="3" fontId="10" fillId="0" borderId="61" xfId="15" applyNumberFormat="1" applyFont="1" applyBorder="1" applyAlignment="1">
      <alignment vertical="center" wrapText="1"/>
    </xf>
    <xf numFmtId="3" fontId="15" fillId="0" borderId="62" xfId="15" applyNumberFormat="1" applyFont="1" applyBorder="1" applyAlignment="1">
      <alignment vertical="center" wrapText="1"/>
    </xf>
    <xf numFmtId="3" fontId="15" fillId="0" borderId="48" xfId="15" applyNumberFormat="1" applyFont="1" applyBorder="1" applyAlignment="1">
      <alignment vertical="center" wrapText="1"/>
    </xf>
    <xf numFmtId="3" fontId="8" fillId="0" borderId="52" xfId="15" applyNumberFormat="1" applyFont="1" applyBorder="1" applyAlignment="1">
      <alignment vertical="center" wrapText="1"/>
    </xf>
    <xf numFmtId="3" fontId="17" fillId="0" borderId="61" xfId="15" applyNumberFormat="1" applyFont="1" applyBorder="1" applyAlignment="1">
      <alignment vertical="center" wrapText="1"/>
    </xf>
    <xf numFmtId="3" fontId="17" fillId="0" borderId="51" xfId="15" applyNumberFormat="1" applyFont="1" applyBorder="1" applyAlignment="1">
      <alignment vertical="center" wrapText="1"/>
    </xf>
    <xf numFmtId="3" fontId="15" fillId="0" borderId="20" xfId="15" applyNumberFormat="1" applyFont="1" applyBorder="1" applyAlignment="1">
      <alignment vertical="center" wrapText="1"/>
    </xf>
    <xf numFmtId="3" fontId="8" fillId="0" borderId="60" xfId="15" applyNumberFormat="1" applyFont="1" applyBorder="1" applyAlignment="1">
      <alignment vertical="center" wrapText="1"/>
    </xf>
    <xf numFmtId="3" fontId="8" fillId="0" borderId="63" xfId="15" applyNumberFormat="1" applyFont="1" applyBorder="1" applyAlignment="1">
      <alignment vertical="center" wrapText="1"/>
    </xf>
    <xf numFmtId="3" fontId="17" fillId="0" borderId="63" xfId="15" applyNumberFormat="1" applyFont="1" applyBorder="1" applyAlignment="1">
      <alignment vertical="center" wrapText="1"/>
    </xf>
    <xf numFmtId="3" fontId="10" fillId="0" borderId="63" xfId="15" applyNumberFormat="1" applyFont="1" applyBorder="1" applyAlignment="1">
      <alignment vertical="center" wrapText="1"/>
    </xf>
    <xf numFmtId="3" fontId="8" fillId="0" borderId="63" xfId="15" applyNumberFormat="1" applyFont="1" applyFill="1" applyBorder="1" applyAlignment="1">
      <alignment vertical="center" wrapText="1"/>
    </xf>
    <xf numFmtId="3" fontId="10" fillId="0" borderId="21" xfId="15" applyNumberFormat="1" applyFont="1" applyBorder="1" applyAlignment="1">
      <alignment vertical="center" wrapText="1"/>
    </xf>
    <xf numFmtId="3" fontId="10" fillId="0" borderId="64" xfId="15" applyNumberFormat="1" applyFont="1" applyBorder="1" applyAlignment="1">
      <alignment vertical="center" wrapText="1"/>
    </xf>
    <xf numFmtId="3" fontId="10" fillId="0" borderId="27" xfId="15" applyNumberFormat="1" applyFont="1" applyBorder="1" applyAlignment="1">
      <alignment vertical="center" wrapText="1"/>
    </xf>
    <xf numFmtId="3" fontId="8" fillId="0" borderId="21" xfId="15" applyNumberFormat="1" applyFont="1" applyBorder="1" applyAlignment="1">
      <alignment vertical="center" wrapText="1"/>
    </xf>
    <xf numFmtId="3" fontId="8" fillId="0" borderId="61" xfId="15" applyNumberFormat="1" applyFont="1" applyFill="1" applyBorder="1" applyAlignment="1">
      <alignment vertical="center" wrapText="1"/>
    </xf>
    <xf numFmtId="3" fontId="10" fillId="0" borderId="61" xfId="15" applyNumberFormat="1" applyFont="1" applyFill="1" applyBorder="1" applyAlignment="1">
      <alignment vertical="center" wrapText="1"/>
    </xf>
    <xf numFmtId="3" fontId="10" fillId="0" borderId="63" xfId="15" applyNumberFormat="1" applyFont="1" applyFill="1" applyBorder="1" applyAlignment="1">
      <alignment vertical="center" wrapText="1"/>
    </xf>
    <xf numFmtId="3" fontId="8" fillId="0" borderId="45" xfId="15" applyNumberFormat="1" applyFont="1" applyBorder="1" applyAlignment="1">
      <alignment vertical="center" wrapText="1"/>
    </xf>
    <xf numFmtId="3" fontId="8" fillId="0" borderId="65" xfId="15" applyNumberFormat="1" applyFont="1" applyBorder="1" applyAlignment="1">
      <alignment vertical="center" wrapText="1"/>
    </xf>
    <xf numFmtId="3" fontId="8" fillId="0" borderId="66" xfId="15" applyNumberFormat="1" applyFont="1" applyBorder="1" applyAlignment="1">
      <alignment vertical="center" wrapText="1"/>
    </xf>
    <xf numFmtId="3" fontId="3" fillId="0" borderId="62" xfId="15" applyNumberFormat="1" applyFont="1" applyBorder="1" applyAlignment="1">
      <alignment vertical="center" wrapText="1"/>
    </xf>
    <xf numFmtId="3" fontId="17" fillId="0" borderId="59" xfId="15" applyNumberFormat="1" applyFont="1" applyBorder="1" applyAlignment="1">
      <alignment vertical="center" wrapText="1"/>
    </xf>
    <xf numFmtId="3" fontId="10" fillId="0" borderId="61" xfId="0" applyNumberFormat="1" applyFont="1" applyBorder="1" applyAlignment="1">
      <alignment vertical="center" wrapText="1"/>
    </xf>
    <xf numFmtId="3" fontId="21" fillId="0" borderId="61" xfId="15" applyNumberFormat="1" applyFont="1" applyBorder="1" applyAlignment="1">
      <alignment vertical="center" wrapText="1"/>
    </xf>
    <xf numFmtId="3" fontId="10" fillId="0" borderId="67" xfId="15" applyNumberFormat="1" applyFont="1" applyBorder="1" applyAlignment="1">
      <alignment vertical="center" wrapText="1"/>
    </xf>
    <xf numFmtId="3" fontId="15" fillId="0" borderId="68" xfId="15" applyNumberFormat="1" applyFont="1" applyBorder="1" applyAlignment="1">
      <alignment vertical="center" wrapText="1"/>
    </xf>
    <xf numFmtId="3" fontId="15" fillId="0" borderId="69" xfId="15" applyNumberFormat="1" applyFont="1" applyBorder="1" applyAlignment="1">
      <alignment vertical="center" wrapText="1"/>
    </xf>
    <xf numFmtId="3" fontId="15" fillId="0" borderId="16" xfId="15" applyNumberFormat="1" applyFont="1" applyBorder="1" applyAlignment="1">
      <alignment vertical="center" wrapText="1"/>
    </xf>
    <xf numFmtId="3" fontId="10" fillId="0" borderId="20" xfId="15" applyNumberFormat="1" applyFont="1" applyBorder="1" applyAlignment="1">
      <alignment vertical="center" wrapText="1"/>
    </xf>
    <xf numFmtId="3" fontId="4" fillId="0" borderId="70" xfId="0" applyNumberFormat="1" applyFont="1" applyBorder="1" applyAlignment="1">
      <alignment vertical="center"/>
    </xf>
    <xf numFmtId="3" fontId="15" fillId="0" borderId="55" xfId="15" applyNumberFormat="1" applyFont="1" applyBorder="1" applyAlignment="1">
      <alignment vertical="center" wrapText="1"/>
    </xf>
    <xf numFmtId="3" fontId="4" fillId="0" borderId="71" xfId="0" applyNumberFormat="1" applyFont="1" applyBorder="1" applyAlignment="1">
      <alignment vertical="center"/>
    </xf>
    <xf numFmtId="3" fontId="15" fillId="0" borderId="72" xfId="15" applyNumberFormat="1" applyFont="1" applyBorder="1" applyAlignment="1">
      <alignment vertical="center" wrapText="1"/>
    </xf>
    <xf numFmtId="3" fontId="10" fillId="0" borderId="65" xfId="15" applyNumberFormat="1" applyFont="1" applyBorder="1" applyAlignment="1">
      <alignment vertical="center" wrapText="1"/>
    </xf>
    <xf numFmtId="3" fontId="16" fillId="0" borderId="32" xfId="15" applyNumberFormat="1" applyFont="1" applyBorder="1" applyAlignment="1">
      <alignment vertical="center" wrapText="1"/>
    </xf>
    <xf numFmtId="0" fontId="8" fillId="0" borderId="60" xfId="0" applyFont="1" applyBorder="1" applyAlignment="1">
      <alignment horizontal="center" vertical="center"/>
    </xf>
    <xf numFmtId="0" fontId="0" fillId="0" borderId="51" xfId="0" applyBorder="1" applyAlignment="1">
      <alignment/>
    </xf>
    <xf numFmtId="3" fontId="4" fillId="0" borderId="73" xfId="0" applyNumberFormat="1" applyFont="1" applyBorder="1" applyAlignment="1">
      <alignment vertical="center"/>
    </xf>
    <xf numFmtId="0" fontId="8" fillId="0" borderId="74" xfId="0" applyFont="1" applyBorder="1" applyAlignment="1">
      <alignment/>
    </xf>
    <xf numFmtId="176" fontId="15" fillId="0" borderId="8" xfId="0" applyNumberFormat="1" applyFont="1" applyBorder="1" applyAlignment="1">
      <alignment horizontal="right" vertical="center" wrapText="1"/>
    </xf>
    <xf numFmtId="3" fontId="15" fillId="0" borderId="8" xfId="0" applyNumberFormat="1" applyFont="1" applyBorder="1" applyAlignment="1">
      <alignment vertical="center" wrapText="1"/>
    </xf>
    <xf numFmtId="3" fontId="15" fillId="0" borderId="59" xfId="15" applyNumberFormat="1" applyFont="1" applyBorder="1" applyAlignment="1">
      <alignment vertical="center" wrapText="1"/>
    </xf>
    <xf numFmtId="3" fontId="15" fillId="0" borderId="60" xfId="15" applyNumberFormat="1" applyFont="1" applyBorder="1" applyAlignment="1">
      <alignment vertical="center" wrapText="1"/>
    </xf>
    <xf numFmtId="3" fontId="15" fillId="0" borderId="46" xfId="15" applyNumberFormat="1" applyFont="1" applyBorder="1" applyAlignment="1">
      <alignment vertical="center" wrapText="1"/>
    </xf>
    <xf numFmtId="0" fontId="8" fillId="0" borderId="2" xfId="0" applyFont="1" applyBorder="1" applyAlignment="1">
      <alignment/>
    </xf>
    <xf numFmtId="3" fontId="15" fillId="0" borderId="2" xfId="0" applyNumberFormat="1" applyFont="1" applyBorder="1" applyAlignment="1">
      <alignment horizontal="right" vertical="center" wrapText="1"/>
    </xf>
    <xf numFmtId="3" fontId="10" fillId="0" borderId="54" xfId="15" applyNumberFormat="1" applyFont="1" applyBorder="1" applyAlignment="1">
      <alignment vertical="center" wrapText="1"/>
    </xf>
    <xf numFmtId="3" fontId="15" fillId="0" borderId="20" xfId="0" applyNumberFormat="1" applyFont="1" applyBorder="1" applyAlignment="1" quotePrefix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7" fillId="0" borderId="21" xfId="15" applyNumberFormat="1" applyFont="1" applyBorder="1" applyAlignment="1">
      <alignment horizontal="center" vertical="center" wrapText="1"/>
    </xf>
    <xf numFmtId="3" fontId="8" fillId="0" borderId="22" xfId="15" applyNumberFormat="1" applyFont="1" applyBorder="1" applyAlignment="1">
      <alignment horizontal="center" vertical="center" wrapText="1"/>
    </xf>
    <xf numFmtId="3" fontId="15" fillId="0" borderId="75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0" fontId="22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76" xfId="0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24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77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178" fontId="10" fillId="0" borderId="10" xfId="0" applyNumberFormat="1" applyFont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3" fillId="0" borderId="78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15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8" xfId="15" applyNumberFormat="1" applyFont="1" applyBorder="1" applyAlignment="1">
      <alignment vertical="center"/>
    </xf>
    <xf numFmtId="3" fontId="0" fillId="0" borderId="10" xfId="15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0" fillId="0" borderId="3" xfId="15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31" fillId="0" borderId="0" xfId="0" applyFont="1" applyAlignment="1">
      <alignment/>
    </xf>
    <xf numFmtId="3" fontId="3" fillId="0" borderId="30" xfId="15" applyNumberFormat="1" applyFont="1" applyBorder="1" applyAlignment="1">
      <alignment vertical="center"/>
    </xf>
    <xf numFmtId="3" fontId="3" fillId="0" borderId="43" xfId="15" applyNumberFormat="1" applyFont="1" applyBorder="1" applyAlignment="1">
      <alignment vertical="center"/>
    </xf>
    <xf numFmtId="3" fontId="3" fillId="0" borderId="79" xfId="15" applyNumberFormat="1" applyFont="1" applyBorder="1" applyAlignment="1">
      <alignment vertical="center"/>
    </xf>
    <xf numFmtId="3" fontId="3" fillId="0" borderId="71" xfId="15" applyNumberFormat="1" applyFont="1" applyBorder="1" applyAlignment="1">
      <alignment vertical="center"/>
    </xf>
    <xf numFmtId="3" fontId="3" fillId="0" borderId="73" xfId="15" applyNumberFormat="1" applyFont="1" applyBorder="1" applyAlignment="1">
      <alignment vertical="center"/>
    </xf>
    <xf numFmtId="3" fontId="13" fillId="0" borderId="23" xfId="15" applyNumberFormat="1" applyFont="1" applyBorder="1" applyAlignment="1">
      <alignment vertical="center"/>
    </xf>
    <xf numFmtId="3" fontId="13" fillId="0" borderId="45" xfId="15" applyNumberFormat="1" applyFont="1" applyBorder="1" applyAlignment="1">
      <alignment vertical="center"/>
    </xf>
    <xf numFmtId="0" fontId="32" fillId="0" borderId="8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9" fillId="0" borderId="59" xfId="0" applyFont="1" applyBorder="1" applyAlignment="1">
      <alignment vertical="center"/>
    </xf>
    <xf numFmtId="0" fontId="19" fillId="0" borderId="8" xfId="0" applyFont="1" applyBorder="1" applyAlignment="1">
      <alignment horizontal="left" vertical="center" indent="1"/>
    </xf>
    <xf numFmtId="3" fontId="19" fillId="0" borderId="8" xfId="15" applyNumberFormat="1" applyFont="1" applyBorder="1" applyAlignment="1">
      <alignment vertical="center"/>
    </xf>
    <xf numFmtId="3" fontId="19" fillId="0" borderId="41" xfId="15" applyNumberFormat="1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19" fillId="0" borderId="3" xfId="0" applyFont="1" applyBorder="1" applyAlignment="1">
      <alignment horizontal="left" vertical="center" indent="1"/>
    </xf>
    <xf numFmtId="3" fontId="19" fillId="0" borderId="3" xfId="15" applyNumberFormat="1" applyFont="1" applyBorder="1" applyAlignment="1">
      <alignment vertical="center"/>
    </xf>
    <xf numFmtId="3" fontId="19" fillId="0" borderId="38" xfId="15" applyNumberFormat="1" applyFont="1" applyBorder="1" applyAlignment="1">
      <alignment vertical="center"/>
    </xf>
    <xf numFmtId="3" fontId="19" fillId="0" borderId="49" xfId="15" applyNumberFormat="1" applyFont="1" applyBorder="1" applyAlignment="1">
      <alignment vertical="center"/>
    </xf>
    <xf numFmtId="3" fontId="19" fillId="0" borderId="51" xfId="15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0" fontId="19" fillId="0" borderId="10" xfId="0" applyFont="1" applyBorder="1" applyAlignment="1">
      <alignment horizontal="left" vertical="center" indent="1"/>
    </xf>
    <xf numFmtId="3" fontId="19" fillId="0" borderId="10" xfId="15" applyNumberFormat="1" applyFont="1" applyBorder="1" applyAlignment="1">
      <alignment vertical="center"/>
    </xf>
    <xf numFmtId="3" fontId="19" fillId="0" borderId="39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19" fillId="0" borderId="1" xfId="15" applyNumberFormat="1" applyFont="1" applyBorder="1" applyAlignment="1">
      <alignment vertical="center"/>
    </xf>
    <xf numFmtId="3" fontId="19" fillId="0" borderId="80" xfId="15" applyNumberFormat="1" applyFont="1" applyBorder="1" applyAlignment="1">
      <alignment vertical="center"/>
    </xf>
    <xf numFmtId="3" fontId="19" fillId="0" borderId="13" xfId="0" applyNumberFormat="1" applyFont="1" applyBorder="1" applyAlignment="1">
      <alignment wrapText="1"/>
    </xf>
    <xf numFmtId="3" fontId="19" fillId="0" borderId="23" xfId="15" applyNumberFormat="1" applyFont="1" applyBorder="1" applyAlignment="1">
      <alignment vertical="center"/>
    </xf>
    <xf numFmtId="3" fontId="19" fillId="0" borderId="81" xfId="15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15" xfId="0" applyFont="1" applyBorder="1" applyAlignment="1">
      <alignment/>
    </xf>
    <xf numFmtId="3" fontId="13" fillId="0" borderId="19" xfId="15" applyNumberFormat="1" applyFont="1" applyBorder="1" applyAlignment="1">
      <alignment horizontal="center" vertical="center"/>
    </xf>
    <xf numFmtId="3" fontId="13" fillId="0" borderId="42" xfId="15" applyNumberFormat="1" applyFont="1" applyBorder="1" applyAlignment="1">
      <alignment horizontal="center" vertical="center"/>
    </xf>
    <xf numFmtId="3" fontId="13" fillId="0" borderId="55" xfId="15" applyNumberFormat="1" applyFont="1" applyBorder="1" applyAlignment="1">
      <alignment horizontal="center" vertical="center"/>
    </xf>
    <xf numFmtId="3" fontId="13" fillId="0" borderId="82" xfId="15" applyNumberFormat="1" applyFont="1" applyBorder="1" applyAlignment="1">
      <alignment horizontal="center" vertical="center"/>
    </xf>
    <xf numFmtId="0" fontId="18" fillId="0" borderId="21" xfId="0" applyFont="1" applyBorder="1" applyAlignment="1">
      <alignment vertical="center" wrapText="1"/>
    </xf>
    <xf numFmtId="3" fontId="19" fillId="0" borderId="83" xfId="15" applyNumberFormat="1" applyFont="1" applyBorder="1" applyAlignment="1">
      <alignment vertical="center" wrapText="1"/>
    </xf>
    <xf numFmtId="3" fontId="18" fillId="0" borderId="84" xfId="0" applyNumberFormat="1" applyFont="1" applyBorder="1" applyAlignment="1">
      <alignment vertical="center"/>
    </xf>
    <xf numFmtId="3" fontId="13" fillId="0" borderId="16" xfId="15" applyNumberFormat="1" applyFont="1" applyBorder="1" applyAlignment="1">
      <alignment horizontal="center" vertical="center"/>
    </xf>
    <xf numFmtId="3" fontId="19" fillId="0" borderId="45" xfId="15" applyNumberFormat="1" applyFont="1" applyBorder="1" applyAlignment="1">
      <alignment vertical="center"/>
    </xf>
    <xf numFmtId="3" fontId="19" fillId="0" borderId="9" xfId="15" applyNumberFormat="1" applyFont="1" applyBorder="1" applyAlignment="1">
      <alignment vertical="center"/>
    </xf>
    <xf numFmtId="3" fontId="19" fillId="0" borderId="24" xfId="15" applyNumberFormat="1" applyFont="1" applyBorder="1" applyAlignment="1">
      <alignment vertical="center"/>
    </xf>
    <xf numFmtId="3" fontId="19" fillId="0" borderId="64" xfId="15" applyNumberFormat="1" applyFont="1" applyBorder="1" applyAlignment="1">
      <alignment vertical="center"/>
    </xf>
    <xf numFmtId="3" fontId="19" fillId="0" borderId="21" xfId="15" applyNumberFormat="1" applyFont="1" applyBorder="1" applyAlignment="1">
      <alignment vertical="center"/>
    </xf>
    <xf numFmtId="3" fontId="18" fillId="0" borderId="85" xfId="0" applyNumberFormat="1" applyFont="1" applyBorder="1" applyAlignment="1">
      <alignment vertical="center"/>
    </xf>
    <xf numFmtId="3" fontId="4" fillId="0" borderId="73" xfId="15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4" fillId="0" borderId="86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80" xfId="0" applyFont="1" applyBorder="1" applyAlignment="1">
      <alignment/>
    </xf>
    <xf numFmtId="3" fontId="23" fillId="0" borderId="14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1" xfId="0" applyFont="1" applyBorder="1" applyAlignment="1">
      <alignment/>
    </xf>
    <xf numFmtId="3" fontId="24" fillId="0" borderId="16" xfId="0" applyNumberFormat="1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3" fontId="23" fillId="0" borderId="92" xfId="0" applyNumberFormat="1" applyFont="1" applyBorder="1" applyAlignment="1">
      <alignment/>
    </xf>
    <xf numFmtId="0" fontId="23" fillId="0" borderId="93" xfId="0" applyFont="1" applyBorder="1" applyAlignment="1">
      <alignment/>
    </xf>
    <xf numFmtId="0" fontId="23" fillId="0" borderId="94" xfId="0" applyFont="1" applyBorder="1" applyAlignment="1">
      <alignment/>
    </xf>
    <xf numFmtId="0" fontId="23" fillId="0" borderId="95" xfId="0" applyFont="1" applyBorder="1" applyAlignment="1">
      <alignment/>
    </xf>
    <xf numFmtId="3" fontId="23" fillId="0" borderId="96" xfId="0" applyNumberFormat="1" applyFont="1" applyBorder="1" applyAlignment="1">
      <alignment/>
    </xf>
    <xf numFmtId="0" fontId="23" fillId="0" borderId="97" xfId="0" applyFont="1" applyBorder="1" applyAlignment="1">
      <alignment/>
    </xf>
    <xf numFmtId="0" fontId="23" fillId="0" borderId="98" xfId="0" applyFont="1" applyBorder="1" applyAlignment="1">
      <alignment/>
    </xf>
    <xf numFmtId="0" fontId="23" fillId="0" borderId="99" xfId="0" applyFont="1" applyBorder="1" applyAlignment="1">
      <alignment/>
    </xf>
    <xf numFmtId="3" fontId="23" fillId="0" borderId="100" xfId="0" applyNumberFormat="1" applyFont="1" applyBorder="1" applyAlignment="1">
      <alignment/>
    </xf>
    <xf numFmtId="3" fontId="19" fillId="0" borderId="47" xfId="15" applyNumberFormat="1" applyFont="1" applyBorder="1" applyAlignment="1">
      <alignment vertical="center"/>
    </xf>
    <xf numFmtId="3" fontId="19" fillId="0" borderId="47" xfId="0" applyNumberFormat="1" applyFont="1" applyBorder="1" applyAlignment="1">
      <alignment/>
    </xf>
    <xf numFmtId="3" fontId="19" fillId="0" borderId="2" xfId="15" applyNumberFormat="1" applyFont="1" applyBorder="1" applyAlignment="1">
      <alignment vertical="center"/>
    </xf>
    <xf numFmtId="3" fontId="19" fillId="0" borderId="48" xfId="15" applyNumberFormat="1" applyFont="1" applyBorder="1" applyAlignment="1">
      <alignment vertical="center"/>
    </xf>
    <xf numFmtId="3" fontId="19" fillId="0" borderId="49" xfId="0" applyNumberFormat="1" applyFont="1" applyBorder="1" applyAlignment="1">
      <alignment/>
    </xf>
    <xf numFmtId="3" fontId="19" fillId="0" borderId="101" xfId="15" applyNumberFormat="1" applyFont="1" applyBorder="1" applyAlignment="1">
      <alignment vertical="center"/>
    </xf>
    <xf numFmtId="3" fontId="19" fillId="0" borderId="101" xfId="0" applyNumberFormat="1" applyFont="1" applyBorder="1" applyAlignment="1">
      <alignment/>
    </xf>
    <xf numFmtId="3" fontId="19" fillId="0" borderId="102" xfId="15" applyNumberFormat="1" applyFont="1" applyBorder="1" applyAlignment="1">
      <alignment vertical="center"/>
    </xf>
    <xf numFmtId="3" fontId="19" fillId="0" borderId="103" xfId="15" applyNumberFormat="1" applyFont="1" applyBorder="1" applyAlignment="1">
      <alignment vertical="center"/>
    </xf>
    <xf numFmtId="3" fontId="0" fillId="0" borderId="3" xfId="15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3" fontId="0" fillId="0" borderId="5" xfId="15" applyNumberFormat="1" applyFon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3" fillId="0" borderId="104" xfId="0" applyFont="1" applyBorder="1" applyAlignment="1">
      <alignment/>
    </xf>
    <xf numFmtId="0" fontId="0" fillId="0" borderId="32" xfId="0" applyBorder="1" applyAlignment="1">
      <alignment/>
    </xf>
    <xf numFmtId="0" fontId="3" fillId="2" borderId="105" xfId="0" applyFont="1" applyFill="1" applyBorder="1" applyAlignment="1">
      <alignment horizontal="center" vertical="center"/>
    </xf>
    <xf numFmtId="3" fontId="21" fillId="0" borderId="3" xfId="0" applyNumberFormat="1" applyFont="1" applyBorder="1" applyAlignment="1">
      <alignment/>
    </xf>
    <xf numFmtId="0" fontId="4" fillId="0" borderId="106" xfId="0" applyFont="1" applyBorder="1" applyAlignment="1">
      <alignment horizontal="center" vertical="center"/>
    </xf>
    <xf numFmtId="0" fontId="0" fillId="0" borderId="107" xfId="0" applyBorder="1" applyAlignment="1">
      <alignment vertical="center" wrapText="1"/>
    </xf>
    <xf numFmtId="0" fontId="9" fillId="0" borderId="107" xfId="0" applyFont="1" applyBorder="1" applyAlignment="1">
      <alignment vertical="center"/>
    </xf>
    <xf numFmtId="0" fontId="0" fillId="0" borderId="107" xfId="0" applyFont="1" applyBorder="1" applyAlignment="1">
      <alignment vertical="center"/>
    </xf>
    <xf numFmtId="0" fontId="0" fillId="0" borderId="107" xfId="0" applyFont="1" applyBorder="1" applyAlignment="1">
      <alignment vertical="center" wrapText="1"/>
    </xf>
    <xf numFmtId="0" fontId="0" fillId="0" borderId="108" xfId="0" applyFont="1" applyBorder="1" applyAlignment="1">
      <alignment vertical="center"/>
    </xf>
    <xf numFmtId="0" fontId="0" fillId="0" borderId="109" xfId="0" applyFont="1" applyBorder="1" applyAlignment="1">
      <alignment vertical="center" wrapText="1"/>
    </xf>
    <xf numFmtId="0" fontId="3" fillId="0" borderId="33" xfId="0" applyFont="1" applyBorder="1" applyAlignment="1">
      <alignment/>
    </xf>
    <xf numFmtId="0" fontId="0" fillId="0" borderId="34" xfId="0" applyFont="1" applyBorder="1" applyAlignment="1">
      <alignment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110" xfId="0" applyFont="1" applyFill="1" applyBorder="1" applyAlignment="1">
      <alignment horizontal="center" vertical="center"/>
    </xf>
    <xf numFmtId="3" fontId="4" fillId="0" borderId="111" xfId="15" applyNumberFormat="1" applyFont="1" applyBorder="1" applyAlignment="1">
      <alignment vertical="center"/>
    </xf>
    <xf numFmtId="3" fontId="3" fillId="0" borderId="112" xfId="15" applyNumberFormat="1" applyFont="1" applyBorder="1" applyAlignment="1">
      <alignment vertical="center"/>
    </xf>
    <xf numFmtId="3" fontId="0" fillId="0" borderId="112" xfId="15" applyNumberFormat="1" applyBorder="1" applyAlignment="1">
      <alignment vertical="center" wrapText="1"/>
    </xf>
    <xf numFmtId="3" fontId="9" fillId="0" borderId="112" xfId="15" applyNumberFormat="1" applyFont="1" applyBorder="1" applyAlignment="1">
      <alignment vertical="center"/>
    </xf>
    <xf numFmtId="3" fontId="0" fillId="0" borderId="112" xfId="15" applyNumberFormat="1" applyFont="1" applyBorder="1" applyAlignment="1">
      <alignment vertical="center"/>
    </xf>
    <xf numFmtId="3" fontId="13" fillId="0" borderId="112" xfId="15" applyNumberFormat="1" applyFont="1" applyBorder="1" applyAlignment="1">
      <alignment vertical="center"/>
    </xf>
    <xf numFmtId="3" fontId="0" fillId="0" borderId="112" xfId="15" applyNumberFormat="1" applyFont="1" applyBorder="1" applyAlignment="1">
      <alignment vertical="center" wrapText="1"/>
    </xf>
    <xf numFmtId="3" fontId="4" fillId="0" borderId="112" xfId="15" applyNumberFormat="1" applyFont="1" applyBorder="1" applyAlignment="1">
      <alignment vertical="center"/>
    </xf>
    <xf numFmtId="3" fontId="4" fillId="0" borderId="112" xfId="15" applyNumberFormat="1" applyFont="1" applyBorder="1" applyAlignment="1">
      <alignment vertical="center" wrapText="1"/>
    </xf>
    <xf numFmtId="3" fontId="3" fillId="0" borderId="112" xfId="15" applyNumberFormat="1" applyFont="1" applyBorder="1" applyAlignment="1">
      <alignment vertical="center" wrapText="1"/>
    </xf>
    <xf numFmtId="3" fontId="13" fillId="0" borderId="113" xfId="15" applyNumberFormat="1" applyFont="1" applyBorder="1" applyAlignment="1">
      <alignment vertical="center"/>
    </xf>
    <xf numFmtId="3" fontId="15" fillId="0" borderId="114" xfId="15" applyNumberFormat="1" applyFont="1" applyBorder="1" applyAlignment="1">
      <alignment vertical="center" wrapText="1"/>
    </xf>
    <xf numFmtId="176" fontId="0" fillId="0" borderId="6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3" fontId="0" fillId="0" borderId="6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35" xfId="0" applyNumberFormat="1" applyBorder="1" applyAlignment="1">
      <alignment horizontal="right" vertical="center"/>
    </xf>
    <xf numFmtId="183" fontId="0" fillId="0" borderId="34" xfId="0" applyNumberFormat="1" applyBorder="1" applyAlignment="1">
      <alignment horizontal="right" vertical="center"/>
    </xf>
    <xf numFmtId="3" fontId="10" fillId="0" borderId="4" xfId="15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08" xfId="0" applyFont="1" applyBorder="1" applyAlignment="1">
      <alignment vertical="center" wrapText="1"/>
    </xf>
    <xf numFmtId="3" fontId="0" fillId="0" borderId="115" xfId="15" applyNumberFormat="1" applyFont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3" fillId="0" borderId="36" xfId="0" applyFont="1" applyBorder="1" applyAlignment="1">
      <alignment vertical="center" wrapText="1"/>
    </xf>
    <xf numFmtId="0" fontId="20" fillId="0" borderId="81" xfId="0" applyFont="1" applyFill="1" applyBorder="1" applyAlignment="1">
      <alignment horizontal="center" vertical="center" wrapText="1"/>
    </xf>
    <xf numFmtId="3" fontId="15" fillId="0" borderId="116" xfId="15" applyNumberFormat="1" applyFont="1" applyBorder="1" applyAlignment="1">
      <alignment vertical="center" wrapText="1"/>
    </xf>
    <xf numFmtId="3" fontId="8" fillId="0" borderId="117" xfId="15" applyNumberFormat="1" applyFont="1" applyBorder="1" applyAlignment="1">
      <alignment vertical="center" wrapText="1"/>
    </xf>
    <xf numFmtId="3" fontId="10" fillId="0" borderId="41" xfId="15" applyNumberFormat="1" applyFont="1" applyBorder="1" applyAlignment="1">
      <alignment vertical="center" wrapText="1"/>
    </xf>
    <xf numFmtId="3" fontId="10" fillId="0" borderId="24" xfId="15" applyNumberFormat="1" applyFont="1" applyBorder="1" applyAlignment="1">
      <alignment vertical="center" wrapText="1"/>
    </xf>
    <xf numFmtId="3" fontId="15" fillId="0" borderId="41" xfId="15" applyNumberFormat="1" applyFont="1" applyBorder="1" applyAlignment="1">
      <alignment vertical="center" wrapText="1"/>
    </xf>
    <xf numFmtId="3" fontId="15" fillId="0" borderId="24" xfId="15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3" fontId="8" fillId="0" borderId="3" xfId="0" applyNumberFormat="1" applyFont="1" applyBorder="1" applyAlignment="1" quotePrefix="1">
      <alignment/>
    </xf>
    <xf numFmtId="3" fontId="8" fillId="0" borderId="0" xfId="0" applyNumberFormat="1" applyFont="1" applyAlignment="1">
      <alignment/>
    </xf>
    <xf numFmtId="171" fontId="0" fillId="0" borderId="0" xfId="0" applyNumberFormat="1" applyAlignment="1">
      <alignment vertical="center"/>
    </xf>
    <xf numFmtId="3" fontId="10" fillId="0" borderId="26" xfId="15" applyNumberFormat="1" applyFont="1" applyBorder="1" applyAlignment="1">
      <alignment horizontal="center" vertical="center" wrapText="1"/>
    </xf>
    <xf numFmtId="3" fontId="8" fillId="0" borderId="32" xfId="15" applyNumberFormat="1" applyFont="1" applyBorder="1" applyAlignment="1">
      <alignment horizontal="center" vertical="center" wrapText="1"/>
    </xf>
    <xf numFmtId="3" fontId="8" fillId="0" borderId="53" xfId="15" applyNumberFormat="1" applyFont="1" applyBorder="1" applyAlignment="1">
      <alignment horizontal="center" vertical="center" wrapText="1"/>
    </xf>
    <xf numFmtId="176" fontId="8" fillId="0" borderId="8" xfId="15" applyNumberFormat="1" applyFont="1" applyBorder="1" applyAlignment="1">
      <alignment horizontal="right" vertical="center" wrapText="1"/>
    </xf>
    <xf numFmtId="176" fontId="8" fillId="0" borderId="4" xfId="15" applyNumberFormat="1" applyFont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08" xfId="0" applyBorder="1" applyAlignment="1">
      <alignment horizontal="right" vertical="center"/>
    </xf>
    <xf numFmtId="0" fontId="0" fillId="0" borderId="118" xfId="0" applyBorder="1" applyAlignment="1">
      <alignment horizontal="right" vertical="center"/>
    </xf>
    <xf numFmtId="3" fontId="17" fillId="0" borderId="107" xfId="15" applyNumberFormat="1" applyFont="1" applyBorder="1" applyAlignment="1">
      <alignment vertical="center" wrapText="1"/>
    </xf>
    <xf numFmtId="3" fontId="9" fillId="0" borderId="112" xfId="15" applyNumberFormat="1" applyFont="1" applyBorder="1" applyAlignment="1">
      <alignment vertical="center" wrapText="1"/>
    </xf>
    <xf numFmtId="0" fontId="9" fillId="0" borderId="107" xfId="0" applyFont="1" applyBorder="1" applyAlignment="1">
      <alignment vertical="center" wrapText="1"/>
    </xf>
    <xf numFmtId="3" fontId="8" fillId="0" borderId="21" xfId="15" applyNumberFormat="1" applyFont="1" applyFill="1" applyBorder="1" applyAlignment="1">
      <alignment vertical="center" wrapText="1"/>
    </xf>
    <xf numFmtId="3" fontId="8" fillId="0" borderId="9" xfId="15" applyNumberFormat="1" applyFont="1" applyFill="1" applyBorder="1" applyAlignment="1">
      <alignment vertical="center" wrapText="1"/>
    </xf>
    <xf numFmtId="3" fontId="10" fillId="0" borderId="62" xfId="15" applyNumberFormat="1" applyFont="1" applyFill="1" applyBorder="1" applyAlignment="1">
      <alignment vertical="center" wrapText="1"/>
    </xf>
    <xf numFmtId="3" fontId="10" fillId="0" borderId="2" xfId="15" applyNumberFormat="1" applyFont="1" applyFill="1" applyBorder="1" applyAlignment="1">
      <alignment vertical="center" wrapText="1"/>
    </xf>
    <xf numFmtId="3" fontId="15" fillId="0" borderId="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101" xfId="0" applyBorder="1" applyAlignment="1">
      <alignment/>
    </xf>
    <xf numFmtId="0" fontId="4" fillId="0" borderId="119" xfId="0" applyFont="1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35" xfId="0" applyBorder="1" applyAlignment="1">
      <alignment vertical="center"/>
    </xf>
    <xf numFmtId="0" fontId="2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10" fillId="0" borderId="2" xfId="15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vertical="center"/>
    </xf>
    <xf numFmtId="3" fontId="23" fillId="0" borderId="27" xfId="0" applyNumberFormat="1" applyFont="1" applyBorder="1" applyAlignment="1">
      <alignment/>
    </xf>
    <xf numFmtId="0" fontId="23" fillId="0" borderId="121" xfId="0" applyFont="1" applyBorder="1" applyAlignment="1">
      <alignment vertical="center"/>
    </xf>
    <xf numFmtId="3" fontId="23" fillId="0" borderId="64" xfId="0" applyNumberFormat="1" applyFont="1" applyBorder="1" applyAlignment="1">
      <alignment/>
    </xf>
    <xf numFmtId="0" fontId="23" fillId="0" borderId="121" xfId="0" applyFont="1" applyBorder="1" applyAlignment="1">
      <alignment/>
    </xf>
    <xf numFmtId="0" fontId="23" fillId="0" borderId="122" xfId="0" applyFont="1" applyBorder="1" applyAlignment="1">
      <alignment/>
    </xf>
    <xf numFmtId="0" fontId="23" fillId="0" borderId="123" xfId="0" applyFont="1" applyBorder="1" applyAlignment="1">
      <alignment/>
    </xf>
    <xf numFmtId="3" fontId="23" fillId="0" borderId="124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15" fillId="0" borderId="40" xfId="0" applyNumberFormat="1" applyFont="1" applyBorder="1" applyAlignment="1">
      <alignment vertical="center" wrapText="1"/>
    </xf>
    <xf numFmtId="3" fontId="8" fillId="0" borderId="38" xfId="0" applyNumberFormat="1" applyFont="1" applyBorder="1" applyAlignment="1">
      <alignment vertical="center" wrapText="1"/>
    </xf>
    <xf numFmtId="3" fontId="8" fillId="0" borderId="39" xfId="0" applyNumberFormat="1" applyFont="1" applyBorder="1" applyAlignment="1">
      <alignment vertical="center" wrapText="1"/>
    </xf>
    <xf numFmtId="3" fontId="21" fillId="0" borderId="3" xfId="0" applyNumberFormat="1" applyFont="1" applyBorder="1" applyAlignment="1">
      <alignment vertical="center" wrapText="1"/>
    </xf>
    <xf numFmtId="3" fontId="21" fillId="0" borderId="38" xfId="15" applyNumberFormat="1" applyFont="1" applyBorder="1" applyAlignment="1">
      <alignment vertical="center" wrapText="1"/>
    </xf>
    <xf numFmtId="3" fontId="21" fillId="0" borderId="51" xfId="15" applyNumberFormat="1" applyFont="1" applyBorder="1" applyAlignment="1">
      <alignment vertical="center" wrapText="1"/>
    </xf>
    <xf numFmtId="0" fontId="8" fillId="0" borderId="38" xfId="0" applyFont="1" applyBorder="1" applyAlignment="1">
      <alignment/>
    </xf>
    <xf numFmtId="0" fontId="8" fillId="0" borderId="117" xfId="0" applyFont="1" applyBorder="1" applyAlignment="1">
      <alignment/>
    </xf>
    <xf numFmtId="3" fontId="10" fillId="0" borderId="116" xfId="15" applyNumberFormat="1" applyFont="1" applyBorder="1" applyAlignment="1">
      <alignment vertical="center" wrapText="1"/>
    </xf>
    <xf numFmtId="3" fontId="10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0" fontId="10" fillId="0" borderId="38" xfId="0" applyFont="1" applyBorder="1" applyAlignment="1">
      <alignment/>
    </xf>
    <xf numFmtId="3" fontId="10" fillId="0" borderId="116" xfId="0" applyNumberFormat="1" applyFont="1" applyBorder="1" applyAlignment="1">
      <alignment/>
    </xf>
    <xf numFmtId="3" fontId="8" fillId="0" borderId="38" xfId="0" applyNumberFormat="1" applyFont="1" applyBorder="1" applyAlignment="1" quotePrefix="1">
      <alignment/>
    </xf>
    <xf numFmtId="3" fontId="8" fillId="0" borderId="39" xfId="0" applyNumberFormat="1" applyFont="1" applyBorder="1" applyAlignment="1">
      <alignment/>
    </xf>
    <xf numFmtId="3" fontId="10" fillId="0" borderId="116" xfId="0" applyNumberFormat="1" applyFont="1" applyBorder="1" applyAlignment="1">
      <alignment vertical="center"/>
    </xf>
    <xf numFmtId="0" fontId="8" fillId="0" borderId="116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16" xfId="0" applyFont="1" applyBorder="1" applyAlignment="1">
      <alignment/>
    </xf>
    <xf numFmtId="3" fontId="15" fillId="0" borderId="116" xfId="0" applyNumberFormat="1" applyFont="1" applyBorder="1" applyAlignment="1">
      <alignment/>
    </xf>
    <xf numFmtId="0" fontId="8" fillId="0" borderId="39" xfId="0" applyFont="1" applyBorder="1" applyAlignment="1">
      <alignment/>
    </xf>
    <xf numFmtId="3" fontId="8" fillId="0" borderId="38" xfId="0" applyNumberFormat="1" applyFont="1" applyBorder="1" applyAlignment="1">
      <alignment vertical="center"/>
    </xf>
    <xf numFmtId="3" fontId="21" fillId="0" borderId="38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0" fillId="0" borderId="38" xfId="0" applyBorder="1" applyAlignment="1">
      <alignment/>
    </xf>
    <xf numFmtId="49" fontId="27" fillId="0" borderId="1" xfId="0" applyFont="1" applyFill="1" applyBorder="1" applyAlignment="1">
      <alignment horizontal="center" vertical="center" wrapText="1"/>
    </xf>
    <xf numFmtId="3" fontId="17" fillId="0" borderId="108" xfId="15" applyNumberFormat="1" applyFont="1" applyBorder="1" applyAlignment="1">
      <alignment vertical="center" wrapText="1"/>
    </xf>
    <xf numFmtId="0" fontId="17" fillId="0" borderId="38" xfId="0" applyFont="1" applyBorder="1" applyAlignment="1">
      <alignment/>
    </xf>
    <xf numFmtId="3" fontId="15" fillId="0" borderId="125" xfId="15" applyNumberFormat="1" applyFont="1" applyBorder="1" applyAlignment="1">
      <alignment vertical="center" wrapText="1"/>
    </xf>
    <xf numFmtId="0" fontId="8" fillId="0" borderId="126" xfId="0" applyFont="1" applyBorder="1" applyAlignment="1">
      <alignment/>
    </xf>
    <xf numFmtId="0" fontId="8" fillId="0" borderId="127" xfId="0" applyFont="1" applyBorder="1" applyAlignment="1">
      <alignment/>
    </xf>
    <xf numFmtId="3" fontId="10" fillId="0" borderId="125" xfId="15" applyNumberFormat="1" applyFont="1" applyBorder="1" applyAlignment="1">
      <alignment vertical="center" wrapText="1"/>
    </xf>
    <xf numFmtId="0" fontId="10" fillId="0" borderId="126" xfId="0" applyFont="1" applyBorder="1" applyAlignment="1">
      <alignment/>
    </xf>
    <xf numFmtId="3" fontId="10" fillId="0" borderId="126" xfId="0" applyNumberFormat="1" applyFont="1" applyBorder="1" applyAlignment="1">
      <alignment/>
    </xf>
    <xf numFmtId="3" fontId="10" fillId="0" borderId="126" xfId="15" applyNumberFormat="1" applyFont="1" applyBorder="1" applyAlignment="1">
      <alignment vertical="center" wrapText="1"/>
    </xf>
    <xf numFmtId="3" fontId="15" fillId="0" borderId="128" xfId="15" applyNumberFormat="1" applyFont="1" applyBorder="1" applyAlignment="1">
      <alignment vertical="center" wrapText="1"/>
    </xf>
    <xf numFmtId="3" fontId="17" fillId="0" borderId="129" xfId="15" applyNumberFormat="1" applyFont="1" applyBorder="1" applyAlignment="1">
      <alignment vertical="center" wrapText="1"/>
    </xf>
    <xf numFmtId="0" fontId="17" fillId="0" borderId="126" xfId="0" applyFont="1" applyBorder="1" applyAlignment="1">
      <alignment/>
    </xf>
    <xf numFmtId="0" fontId="8" fillId="0" borderId="129" xfId="0" applyFont="1" applyBorder="1" applyAlignment="1">
      <alignment/>
    </xf>
    <xf numFmtId="3" fontId="10" fillId="0" borderId="125" xfId="0" applyNumberFormat="1" applyFont="1" applyBorder="1" applyAlignment="1">
      <alignment/>
    </xf>
    <xf numFmtId="3" fontId="10" fillId="0" borderId="125" xfId="0" applyNumberFormat="1" applyFont="1" applyBorder="1" applyAlignment="1">
      <alignment vertical="center"/>
    </xf>
    <xf numFmtId="3" fontId="8" fillId="0" borderId="129" xfId="0" applyNumberFormat="1" applyFont="1" applyBorder="1" applyAlignment="1">
      <alignment/>
    </xf>
    <xf numFmtId="0" fontId="8" fillId="0" borderId="125" xfId="0" applyFont="1" applyBorder="1" applyAlignment="1">
      <alignment/>
    </xf>
    <xf numFmtId="0" fontId="8" fillId="0" borderId="130" xfId="0" applyFont="1" applyBorder="1" applyAlignment="1">
      <alignment/>
    </xf>
    <xf numFmtId="0" fontId="8" fillId="0" borderId="125" xfId="0" applyFont="1" applyBorder="1" applyAlignment="1">
      <alignment/>
    </xf>
    <xf numFmtId="0" fontId="15" fillId="0" borderId="125" xfId="0" applyFont="1" applyBorder="1" applyAlignment="1">
      <alignment/>
    </xf>
    <xf numFmtId="3" fontId="8" fillId="0" borderId="126" xfId="0" applyNumberFormat="1" applyFont="1" applyBorder="1" applyAlignment="1">
      <alignment/>
    </xf>
    <xf numFmtId="3" fontId="15" fillId="0" borderId="125" xfId="0" applyNumberFormat="1" applyFont="1" applyBorder="1" applyAlignment="1">
      <alignment/>
    </xf>
    <xf numFmtId="0" fontId="8" fillId="0" borderId="126" xfId="0" applyFont="1" applyBorder="1" applyAlignment="1">
      <alignment vertical="center"/>
    </xf>
    <xf numFmtId="3" fontId="8" fillId="0" borderId="126" xfId="0" applyNumberFormat="1" applyFont="1" applyBorder="1" applyAlignment="1">
      <alignment vertical="center"/>
    </xf>
    <xf numFmtId="3" fontId="10" fillId="0" borderId="129" xfId="15" applyNumberFormat="1" applyFont="1" applyBorder="1" applyAlignment="1">
      <alignment vertical="center" wrapText="1"/>
    </xf>
    <xf numFmtId="49" fontId="27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3" fontId="13" fillId="0" borderId="19" xfId="15" applyNumberFormat="1" applyFont="1" applyBorder="1" applyAlignment="1">
      <alignment vertical="center"/>
    </xf>
    <xf numFmtId="0" fontId="8" fillId="0" borderId="30" xfId="0" applyFont="1" applyBorder="1" applyAlignment="1">
      <alignment/>
    </xf>
    <xf numFmtId="0" fontId="20" fillId="0" borderId="131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/>
    </xf>
    <xf numFmtId="3" fontId="13" fillId="0" borderId="16" xfId="15" applyNumberFormat="1" applyFont="1" applyBorder="1" applyAlignment="1">
      <alignment vertical="center"/>
    </xf>
    <xf numFmtId="3" fontId="0" fillId="0" borderId="106" xfId="0" applyNumberFormat="1" applyBorder="1" applyAlignment="1">
      <alignment/>
    </xf>
    <xf numFmtId="3" fontId="0" fillId="0" borderId="132" xfId="0" applyNumberFormat="1" applyBorder="1" applyAlignment="1">
      <alignment vertical="center"/>
    </xf>
    <xf numFmtId="3" fontId="3" fillId="0" borderId="133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2" borderId="43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7" fillId="0" borderId="128" xfId="0" applyFont="1" applyFill="1" applyBorder="1" applyAlignment="1">
      <alignment horizontal="center" vertical="center" wrapText="1"/>
    </xf>
    <xf numFmtId="49" fontId="27" fillId="0" borderId="134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33" fillId="0" borderId="0" xfId="18" applyNumberFormat="1" applyFill="1" applyBorder="1" applyAlignment="1" applyProtection="1">
      <alignment horizontal="left"/>
      <protection locked="0"/>
    </xf>
    <xf numFmtId="0" fontId="33" fillId="0" borderId="0" xfId="18" applyNumberFormat="1" applyFill="1" applyBorder="1" applyAlignment="1" applyProtection="1">
      <alignment/>
      <protection locked="0"/>
    </xf>
    <xf numFmtId="4" fontId="33" fillId="0" borderId="0" xfId="18" applyNumberFormat="1" applyFill="1" applyBorder="1" applyAlignment="1" applyProtection="1">
      <alignment horizontal="left"/>
      <protection locked="0"/>
    </xf>
    <xf numFmtId="49" fontId="37" fillId="0" borderId="58" xfId="18" applyFill="1">
      <alignment horizontal="center" vertical="center" wrapText="1"/>
      <protection locked="0"/>
    </xf>
    <xf numFmtId="49" fontId="37" fillId="0" borderId="58" xfId="18" applyFont="1" applyFill="1">
      <alignment horizontal="center" vertical="center" wrapText="1"/>
      <protection locked="0"/>
    </xf>
    <xf numFmtId="4" fontId="37" fillId="0" borderId="58" xfId="18" applyNumberFormat="1" applyFill="1" applyAlignment="1">
      <alignment vertical="center" wrapText="1"/>
      <protection locked="0"/>
    </xf>
    <xf numFmtId="0" fontId="27" fillId="0" borderId="0" xfId="18" applyFill="1">
      <alignment/>
      <protection/>
    </xf>
    <xf numFmtId="49" fontId="38" fillId="0" borderId="58" xfId="18" applyFill="1">
      <alignment horizontal="center" vertical="center" wrapText="1"/>
      <protection locked="0"/>
    </xf>
    <xf numFmtId="49" fontId="37" fillId="0" borderId="58" xfId="18" applyFill="1">
      <alignment horizontal="right" vertical="center" wrapText="1"/>
      <protection locked="0"/>
    </xf>
    <xf numFmtId="49" fontId="39" fillId="0" borderId="58" xfId="18" applyFill="1">
      <alignment horizontal="right" vertical="center" wrapText="1"/>
      <protection locked="0"/>
    </xf>
    <xf numFmtId="4" fontId="37" fillId="0" borderId="58" xfId="18" applyNumberFormat="1" applyFill="1">
      <alignment horizontal="right" vertical="center" wrapText="1"/>
      <protection locked="0"/>
    </xf>
    <xf numFmtId="49" fontId="37" fillId="0" borderId="58" xfId="18" applyFont="1" applyFill="1">
      <alignment horizontal="right" vertical="center" wrapText="1"/>
      <protection locked="0"/>
    </xf>
    <xf numFmtId="4" fontId="39" fillId="0" borderId="58" xfId="18" applyNumberFormat="1" applyFill="1">
      <alignment horizontal="right" vertical="center" wrapText="1"/>
      <protection locked="0"/>
    </xf>
    <xf numFmtId="0" fontId="6" fillId="0" borderId="13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8" xfId="0" applyFont="1" applyFill="1" applyBorder="1" applyAlignment="1">
      <alignment horizontal="center" vertical="center" wrapText="1"/>
    </xf>
    <xf numFmtId="0" fontId="27" fillId="0" borderId="0" xfId="18" applyFont="1" applyFill="1">
      <alignment/>
      <protection/>
    </xf>
    <xf numFmtId="3" fontId="17" fillId="0" borderId="18" xfId="15" applyNumberFormat="1" applyFont="1" applyBorder="1" applyAlignment="1">
      <alignment vertical="center" wrapText="1"/>
    </xf>
    <xf numFmtId="0" fontId="4" fillId="0" borderId="136" xfId="0" applyFont="1" applyBorder="1" applyAlignment="1">
      <alignment horizontal="center" vertical="center" wrapText="1"/>
    </xf>
    <xf numFmtId="0" fontId="4" fillId="0" borderId="137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33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132" xfId="0" applyFont="1" applyBorder="1" applyAlignment="1">
      <alignment vertical="center" wrapText="1"/>
    </xf>
    <xf numFmtId="0" fontId="4" fillId="0" borderId="49" xfId="0" applyFont="1" applyBorder="1" applyAlignment="1">
      <alignment wrapText="1"/>
    </xf>
    <xf numFmtId="0" fontId="4" fillId="0" borderId="132" xfId="0" applyFont="1" applyBorder="1" applyAlignment="1">
      <alignment wrapText="1"/>
    </xf>
    <xf numFmtId="0" fontId="13" fillId="0" borderId="49" xfId="0" applyFont="1" applyBorder="1" applyAlignment="1">
      <alignment wrapText="1"/>
    </xf>
    <xf numFmtId="0" fontId="13" fillId="0" borderId="132" xfId="0" applyFon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32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38" xfId="0" applyFont="1" applyBorder="1" applyAlignment="1">
      <alignment vertical="center" wrapText="1"/>
    </xf>
    <xf numFmtId="0" fontId="3" fillId="0" borderId="139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2" borderId="75" xfId="0" applyFont="1" applyFill="1" applyBorder="1" applyAlignment="1">
      <alignment horizontal="center" vertical="center"/>
    </xf>
    <xf numFmtId="0" fontId="3" fillId="2" borderId="140" xfId="0" applyFont="1" applyFill="1" applyBorder="1" applyAlignment="1">
      <alignment horizontal="center" vertical="center"/>
    </xf>
    <xf numFmtId="0" fontId="3" fillId="2" borderId="141" xfId="0" applyFont="1" applyFill="1" applyBorder="1" applyAlignment="1">
      <alignment horizontal="center" vertical="center"/>
    </xf>
    <xf numFmtId="0" fontId="3" fillId="2" borderId="142" xfId="0" applyFont="1" applyFill="1" applyBorder="1" applyAlignment="1">
      <alignment horizontal="center" vertical="center"/>
    </xf>
    <xf numFmtId="0" fontId="3" fillId="2" borderId="143" xfId="0" applyFont="1" applyFill="1" applyBorder="1" applyAlignment="1">
      <alignment horizontal="center" vertical="center"/>
    </xf>
    <xf numFmtId="0" fontId="3" fillId="2" borderId="144" xfId="0" applyFont="1" applyFill="1" applyBorder="1" applyAlignment="1">
      <alignment horizontal="center" vertical="center"/>
    </xf>
    <xf numFmtId="49" fontId="27" fillId="0" borderId="145" xfId="0" applyFont="1" applyFill="1" applyBorder="1" applyAlignment="1">
      <alignment horizontal="center" vertical="center" wrapText="1"/>
    </xf>
    <xf numFmtId="49" fontId="27" fillId="0" borderId="146" xfId="0" applyFont="1" applyFill="1" applyBorder="1" applyAlignment="1">
      <alignment horizontal="center" vertical="center" wrapText="1"/>
    </xf>
    <xf numFmtId="0" fontId="6" fillId="0" borderId="14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14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3" fontId="4" fillId="0" borderId="7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vertical="center" wrapText="1"/>
    </xf>
    <xf numFmtId="3" fontId="15" fillId="0" borderId="19" xfId="0" applyNumberFormat="1" applyFont="1" applyBorder="1" applyAlignment="1">
      <alignment vertical="center" wrapText="1"/>
    </xf>
    <xf numFmtId="3" fontId="15" fillId="0" borderId="42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 wrapText="1"/>
    </xf>
    <xf numFmtId="3" fontId="15" fillId="0" borderId="149" xfId="0" applyNumberFormat="1" applyFont="1" applyBorder="1" applyAlignment="1">
      <alignment vertical="center" wrapText="1"/>
    </xf>
    <xf numFmtId="3" fontId="15" fillId="0" borderId="69" xfId="0" applyNumberFormat="1" applyFont="1" applyBorder="1" applyAlignment="1">
      <alignment vertical="center" wrapText="1"/>
    </xf>
    <xf numFmtId="3" fontId="14" fillId="0" borderId="31" xfId="15" applyNumberFormat="1" applyFont="1" applyBorder="1" applyAlignment="1">
      <alignment horizontal="center" vertical="center" wrapText="1"/>
    </xf>
    <xf numFmtId="3" fontId="14" fillId="0" borderId="31" xfId="0" applyNumberFormat="1" applyFont="1" applyBorder="1" applyAlignment="1">
      <alignment horizontal="center" vertical="center"/>
    </xf>
    <xf numFmtId="49" fontId="35" fillId="0" borderId="0" xfId="18" applyFill="1">
      <alignment horizontal="center" vertical="center" wrapText="1"/>
      <protection locked="0"/>
    </xf>
    <xf numFmtId="49" fontId="36" fillId="0" borderId="0" xfId="18" applyFill="1">
      <alignment horizontal="left" vertical="center" wrapText="1"/>
      <protection locked="0"/>
    </xf>
    <xf numFmtId="0" fontId="33" fillId="0" borderId="0" xfId="18" applyNumberFormat="1" applyFill="1" applyBorder="1" applyAlignment="1" applyProtection="1">
      <alignment horizontal="left"/>
      <protection locked="0"/>
    </xf>
    <xf numFmtId="49" fontId="37" fillId="0" borderId="58" xfId="18" applyFill="1">
      <alignment horizontal="center" vertical="center" wrapText="1"/>
      <protection locked="0"/>
    </xf>
    <xf numFmtId="49" fontId="38" fillId="0" borderId="58" xfId="18" applyFill="1">
      <alignment horizontal="center" vertical="center" wrapText="1"/>
      <protection locked="0"/>
    </xf>
    <xf numFmtId="49" fontId="37" fillId="0" borderId="58" xfId="18" applyFill="1">
      <alignment horizontal="right" vertical="center" wrapText="1"/>
      <protection locked="0"/>
    </xf>
    <xf numFmtId="49" fontId="37" fillId="0" borderId="58" xfId="18" applyFill="1">
      <alignment horizontal="left" vertical="center" wrapText="1"/>
      <protection locked="0"/>
    </xf>
    <xf numFmtId="49" fontId="39" fillId="0" borderId="58" xfId="18" applyFill="1">
      <alignment horizontal="center" vertical="center" wrapText="1"/>
      <protection locked="0"/>
    </xf>
    <xf numFmtId="49" fontId="39" fillId="0" borderId="58" xfId="18" applyFill="1">
      <alignment horizontal="right" vertical="center" wrapText="1"/>
      <protection locked="0"/>
    </xf>
    <xf numFmtId="4" fontId="37" fillId="0" borderId="58" xfId="18" applyNumberFormat="1" applyFill="1">
      <alignment horizontal="right" vertical="center" wrapText="1"/>
      <protection locked="0"/>
    </xf>
    <xf numFmtId="4" fontId="37" fillId="0" borderId="58" xfId="18" applyNumberFormat="1" applyFont="1" applyFill="1">
      <alignment horizontal="right" vertical="center" wrapText="1"/>
      <protection locked="0"/>
    </xf>
    <xf numFmtId="4" fontId="39" fillId="0" borderId="58" xfId="18" applyNumberFormat="1" applyFill="1">
      <alignment horizontal="right" vertical="center" wrapText="1"/>
      <protection locked="0"/>
    </xf>
    <xf numFmtId="49" fontId="34" fillId="0" borderId="0" xfId="18" applyFont="1" applyFill="1">
      <alignment horizontal="center" vertical="center" wrapText="1"/>
      <protection locked="0"/>
    </xf>
    <xf numFmtId="49" fontId="34" fillId="0" borderId="0" xfId="18" applyFill="1">
      <alignment horizontal="center" vertical="center" wrapText="1"/>
      <protection locked="0"/>
    </xf>
    <xf numFmtId="4" fontId="37" fillId="0" borderId="150" xfId="18" applyNumberFormat="1" applyFill="1" applyBorder="1" applyAlignment="1">
      <alignment horizontal="center" vertical="center" wrapText="1"/>
      <protection locked="0"/>
    </xf>
    <xf numFmtId="4" fontId="37" fillId="0" borderId="151" xfId="18" applyNumberFormat="1" applyFill="1" applyBorder="1" applyAlignment="1">
      <alignment horizontal="center" vertical="center" wrapText="1"/>
      <protection locked="0"/>
    </xf>
    <xf numFmtId="49" fontId="37" fillId="0" borderId="150" xfId="18" applyFill="1" applyBorder="1" applyAlignment="1">
      <alignment horizontal="center" vertical="center" wrapText="1"/>
      <protection locked="0"/>
    </xf>
    <xf numFmtId="49" fontId="37" fillId="0" borderId="151" xfId="18" applyFill="1" applyBorder="1" applyAlignment="1">
      <alignment horizontal="center" vertical="center" wrapText="1"/>
      <protection locked="0"/>
    </xf>
    <xf numFmtId="4" fontId="37" fillId="0" borderId="150" xfId="18" applyNumberFormat="1" applyFont="1" applyFill="1" applyBorder="1" applyAlignment="1">
      <alignment vertical="center" wrapText="1"/>
      <protection locked="0"/>
    </xf>
    <xf numFmtId="4" fontId="37" fillId="0" borderId="151" xfId="18" applyNumberFormat="1" applyFill="1" applyBorder="1" applyAlignment="1">
      <alignment vertical="center" wrapText="1"/>
      <protection locked="0"/>
    </xf>
    <xf numFmtId="0" fontId="4" fillId="0" borderId="7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13" fillId="0" borderId="152" xfId="15" applyNumberFormat="1" applyFont="1" applyBorder="1" applyAlignment="1">
      <alignment horizontal="center" vertical="center" wrapText="1"/>
    </xf>
    <xf numFmtId="3" fontId="13" fillId="0" borderId="53" xfId="15" applyNumberFormat="1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" fontId="13" fillId="0" borderId="141" xfId="15" applyNumberFormat="1" applyFont="1" applyBorder="1" applyAlignment="1">
      <alignment horizontal="center" vertical="center"/>
    </xf>
    <xf numFmtId="3" fontId="13" fillId="0" borderId="23" xfId="15" applyNumberFormat="1" applyFont="1" applyBorder="1" applyAlignment="1">
      <alignment horizontal="center" vertical="center"/>
    </xf>
    <xf numFmtId="3" fontId="13" fillId="0" borderId="143" xfId="15" applyNumberFormat="1" applyFont="1" applyBorder="1" applyAlignment="1">
      <alignment horizontal="center" vertical="center"/>
    </xf>
    <xf numFmtId="3" fontId="13" fillId="0" borderId="81" xfId="15" applyNumberFormat="1" applyFont="1" applyBorder="1" applyAlignment="1">
      <alignment horizontal="center" vertical="center"/>
    </xf>
    <xf numFmtId="3" fontId="13" fillId="0" borderId="152" xfId="15" applyNumberFormat="1" applyFont="1" applyBorder="1" applyAlignment="1">
      <alignment horizontal="center" vertical="center"/>
    </xf>
    <xf numFmtId="3" fontId="13" fillId="0" borderId="53" xfId="15" applyNumberFormat="1" applyFont="1" applyBorder="1" applyAlignment="1">
      <alignment horizontal="center" vertical="center"/>
    </xf>
    <xf numFmtId="3" fontId="13" fillId="0" borderId="148" xfId="15" applyNumberFormat="1" applyFont="1" applyBorder="1" applyAlignment="1">
      <alignment horizontal="center" vertical="center"/>
    </xf>
    <xf numFmtId="3" fontId="13" fillId="0" borderId="57" xfId="15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4" fillId="0" borderId="148" xfId="0" applyFont="1" applyBorder="1" applyAlignment="1">
      <alignment horizontal="center" vertical="center" wrapText="1"/>
    </xf>
    <xf numFmtId="0" fontId="24" fillId="0" borderId="153" xfId="0" applyFont="1" applyBorder="1" applyAlignment="1">
      <alignment horizontal="center" vertical="center" wrapText="1"/>
    </xf>
    <xf numFmtId="0" fontId="24" fillId="0" borderId="149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3" fillId="0" borderId="12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7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Normalny_wydatki2011-2a-bestia-autopoprawk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showGridLines="0" tabSelected="1" view="pageBreakPreview" zoomScaleSheetLayoutView="100" workbookViewId="0" topLeftCell="A25">
      <selection activeCell="E26" sqref="E26"/>
    </sheetView>
  </sheetViews>
  <sheetFormatPr defaultColWidth="9.00390625" defaultRowHeight="12.75"/>
  <cols>
    <col min="1" max="1" width="29.75390625" style="0" customWidth="1"/>
    <col min="2" max="2" width="8.75390625" style="0" customWidth="1"/>
    <col min="3" max="3" width="7.125" style="0" customWidth="1"/>
    <col min="4" max="4" width="55.625" style="0" customWidth="1"/>
    <col min="5" max="5" width="13.875" style="0" customWidth="1"/>
  </cols>
  <sheetData>
    <row r="1" ht="12.75">
      <c r="E1" s="566" t="s">
        <v>0</v>
      </c>
    </row>
    <row r="2" ht="12.75">
      <c r="E2" s="566" t="s">
        <v>443</v>
      </c>
    </row>
    <row r="3" ht="12.75">
      <c r="E3" s="566" t="s">
        <v>32</v>
      </c>
    </row>
    <row r="4" ht="12.75">
      <c r="E4" s="566" t="s">
        <v>444</v>
      </c>
    </row>
    <row r="6" spans="2:5" ht="18">
      <c r="B6" s="615" t="s">
        <v>363</v>
      </c>
      <c r="C6" s="615"/>
      <c r="D6" s="615"/>
      <c r="E6" s="615"/>
    </row>
    <row r="7" spans="2:5" ht="12" customHeight="1" thickBot="1">
      <c r="B7" s="2"/>
      <c r="C7" s="2"/>
      <c r="D7" s="2"/>
      <c r="E7" s="2"/>
    </row>
    <row r="8" spans="2:5" ht="16.5" customHeight="1" hidden="1">
      <c r="B8" s="2"/>
      <c r="C8" s="2"/>
      <c r="D8" s="2"/>
      <c r="E8" s="2"/>
    </row>
    <row r="9" ht="13.5" hidden="1" thickBot="1"/>
    <row r="10" spans="1:5" s="16" customFormat="1" ht="15" customHeight="1">
      <c r="A10" s="616" t="s">
        <v>3</v>
      </c>
      <c r="B10" s="618" t="s">
        <v>4</v>
      </c>
      <c r="C10" s="618" t="s">
        <v>5</v>
      </c>
      <c r="D10" s="620" t="s">
        <v>25</v>
      </c>
      <c r="E10" s="429" t="s">
        <v>367</v>
      </c>
    </row>
    <row r="11" spans="1:5" s="16" customFormat="1" ht="18.75" customHeight="1" thickBot="1">
      <c r="A11" s="617"/>
      <c r="B11" s="619"/>
      <c r="C11" s="619"/>
      <c r="D11" s="621"/>
      <c r="E11" s="417"/>
    </row>
    <row r="12" spans="1:5" s="19" customFormat="1" ht="29.25" customHeight="1">
      <c r="A12" s="132"/>
      <c r="B12" s="133"/>
      <c r="C12" s="134"/>
      <c r="D12" s="419" t="s">
        <v>234</v>
      </c>
      <c r="E12" s="430">
        <f>SUM(E13,E20,E23,E45:E50,E51,E54,E61,E67)</f>
        <v>49049210</v>
      </c>
    </row>
    <row r="13" spans="1:5" ht="24.75" customHeight="1">
      <c r="A13" s="599" t="s">
        <v>26</v>
      </c>
      <c r="B13" s="600"/>
      <c r="C13" s="600"/>
      <c r="D13" s="600"/>
      <c r="E13" s="435">
        <f>+E14+E15+E19</f>
        <v>1960000</v>
      </c>
    </row>
    <row r="14" spans="1:5" ht="27" customHeight="1">
      <c r="A14" s="28" t="s">
        <v>14</v>
      </c>
      <c r="B14" s="26">
        <v>70005</v>
      </c>
      <c r="C14" s="442">
        <v>470</v>
      </c>
      <c r="D14" s="420" t="s">
        <v>27</v>
      </c>
      <c r="E14" s="432">
        <v>320000</v>
      </c>
    </row>
    <row r="15" spans="1:5" ht="25.5">
      <c r="A15" s="29"/>
      <c r="B15" s="27"/>
      <c r="C15" s="442">
        <v>750</v>
      </c>
      <c r="D15" s="420" t="s">
        <v>1</v>
      </c>
      <c r="E15" s="432">
        <f>SUM(E16:E18)</f>
        <v>1620000</v>
      </c>
    </row>
    <row r="16" spans="1:5" ht="12.75">
      <c r="A16" s="29"/>
      <c r="B16" s="27"/>
      <c r="C16" s="442"/>
      <c r="D16" s="421" t="s">
        <v>28</v>
      </c>
      <c r="E16" s="433">
        <v>1300000</v>
      </c>
    </row>
    <row r="17" spans="1:5" ht="12.75">
      <c r="A17" s="29"/>
      <c r="B17" s="27"/>
      <c r="C17" s="442"/>
      <c r="D17" s="421" t="s">
        <v>29</v>
      </c>
      <c r="E17" s="433">
        <v>120000</v>
      </c>
    </row>
    <row r="18" spans="1:5" ht="12.75">
      <c r="A18" s="29"/>
      <c r="B18" s="27"/>
      <c r="C18" s="442"/>
      <c r="D18" s="421" t="s">
        <v>30</v>
      </c>
      <c r="E18" s="433">
        <v>200000</v>
      </c>
    </row>
    <row r="19" spans="1:5" ht="12.75">
      <c r="A19" s="29"/>
      <c r="B19" s="27"/>
      <c r="C19" s="442">
        <v>920</v>
      </c>
      <c r="D19" s="422" t="s">
        <v>33</v>
      </c>
      <c r="E19" s="434">
        <v>20000</v>
      </c>
    </row>
    <row r="20" spans="1:5" ht="15.75">
      <c r="A20" s="601" t="s">
        <v>54</v>
      </c>
      <c r="B20" s="602"/>
      <c r="C20" s="602"/>
      <c r="D20" s="602"/>
      <c r="E20" s="435">
        <f>SUM(E21:E22)</f>
        <v>145000</v>
      </c>
    </row>
    <row r="21" spans="1:5" ht="12.75">
      <c r="A21" s="28"/>
      <c r="B21" s="26">
        <v>75023</v>
      </c>
      <c r="C21" s="443">
        <v>690</v>
      </c>
      <c r="D21" s="422" t="s">
        <v>34</v>
      </c>
      <c r="E21" s="434">
        <v>60000</v>
      </c>
    </row>
    <row r="22" spans="1:5" ht="19.5" customHeight="1">
      <c r="A22" s="29"/>
      <c r="B22" s="27"/>
      <c r="C22" s="443">
        <v>970</v>
      </c>
      <c r="D22" s="422" t="s">
        <v>35</v>
      </c>
      <c r="E22" s="434">
        <f>60000+25000</f>
        <v>85000</v>
      </c>
    </row>
    <row r="23" spans="1:5" ht="30" customHeight="1">
      <c r="A23" s="603" t="s">
        <v>425</v>
      </c>
      <c r="B23" s="604"/>
      <c r="C23" s="604"/>
      <c r="D23" s="604"/>
      <c r="E23" s="435">
        <f>SUM(E24:E44)</f>
        <v>30274860</v>
      </c>
    </row>
    <row r="24" spans="1:5" ht="30" customHeight="1">
      <c r="A24" s="30"/>
      <c r="B24" s="26">
        <v>75601</v>
      </c>
      <c r="C24" s="444">
        <v>350</v>
      </c>
      <c r="D24" s="423" t="s">
        <v>79</v>
      </c>
      <c r="E24" s="436">
        <v>45000</v>
      </c>
    </row>
    <row r="25" spans="1:5" ht="18" customHeight="1">
      <c r="A25" s="30"/>
      <c r="B25" s="26"/>
      <c r="C25" s="444">
        <v>910</v>
      </c>
      <c r="D25" s="423" t="s">
        <v>36</v>
      </c>
      <c r="E25" s="434">
        <v>500</v>
      </c>
    </row>
    <row r="26" spans="1:5" ht="18" customHeight="1">
      <c r="A26" s="30"/>
      <c r="B26" s="26">
        <v>75615</v>
      </c>
      <c r="C26" s="444">
        <v>310</v>
      </c>
      <c r="D26" s="422" t="s">
        <v>37</v>
      </c>
      <c r="E26" s="434">
        <f>13000000+100000</f>
        <v>13100000</v>
      </c>
    </row>
    <row r="27" spans="1:5" ht="18" customHeight="1">
      <c r="A27" s="30"/>
      <c r="B27" s="26"/>
      <c r="C27" s="444">
        <v>320</v>
      </c>
      <c r="D27" s="422" t="s">
        <v>38</v>
      </c>
      <c r="E27" s="434">
        <v>45000</v>
      </c>
    </row>
    <row r="28" spans="1:5" ht="18" customHeight="1">
      <c r="A28" s="30"/>
      <c r="B28" s="27"/>
      <c r="C28" s="444">
        <v>330</v>
      </c>
      <c r="D28" s="422" t="s">
        <v>350</v>
      </c>
      <c r="E28" s="434">
        <v>92250</v>
      </c>
    </row>
    <row r="29" spans="1:5" ht="18" customHeight="1">
      <c r="A29" s="30"/>
      <c r="B29" s="27"/>
      <c r="C29" s="444">
        <v>340</v>
      </c>
      <c r="D29" s="422" t="s">
        <v>39</v>
      </c>
      <c r="E29" s="434">
        <v>102000</v>
      </c>
    </row>
    <row r="30" spans="1:5" ht="18" customHeight="1">
      <c r="A30" s="30"/>
      <c r="B30" s="27"/>
      <c r="C30" s="444">
        <v>500</v>
      </c>
      <c r="D30" s="422" t="s">
        <v>40</v>
      </c>
      <c r="E30" s="434">
        <v>22000</v>
      </c>
    </row>
    <row r="31" spans="1:5" ht="18" customHeight="1">
      <c r="A31" s="30"/>
      <c r="B31" s="27"/>
      <c r="C31" s="444">
        <v>910</v>
      </c>
      <c r="D31" s="423" t="s">
        <v>36</v>
      </c>
      <c r="E31" s="434">
        <v>45000</v>
      </c>
    </row>
    <row r="32" spans="1:5" ht="18" customHeight="1">
      <c r="A32" s="30"/>
      <c r="B32" s="26">
        <v>75616</v>
      </c>
      <c r="C32" s="444">
        <v>310</v>
      </c>
      <c r="D32" s="422" t="s">
        <v>37</v>
      </c>
      <c r="E32" s="434">
        <v>3100000</v>
      </c>
    </row>
    <row r="33" spans="1:5" ht="18" customHeight="1">
      <c r="A33" s="30"/>
      <c r="B33" s="27"/>
      <c r="C33" s="444">
        <v>320</v>
      </c>
      <c r="D33" s="422" t="s">
        <v>38</v>
      </c>
      <c r="E33" s="434">
        <v>410000</v>
      </c>
    </row>
    <row r="34" spans="1:5" ht="18" customHeight="1">
      <c r="A34" s="29"/>
      <c r="B34" s="27"/>
      <c r="C34" s="444">
        <v>330</v>
      </c>
      <c r="D34" s="422" t="s">
        <v>350</v>
      </c>
      <c r="E34" s="434">
        <v>1845</v>
      </c>
    </row>
    <row r="35" spans="1:5" ht="18" customHeight="1">
      <c r="A35" s="58"/>
      <c r="B35" s="59"/>
      <c r="C35" s="445">
        <v>340</v>
      </c>
      <c r="D35" s="424" t="s">
        <v>39</v>
      </c>
      <c r="E35" s="434">
        <v>220000</v>
      </c>
    </row>
    <row r="36" spans="1:5" ht="18" customHeight="1">
      <c r="A36" s="29"/>
      <c r="B36" s="27"/>
      <c r="C36" s="444">
        <v>360</v>
      </c>
      <c r="D36" s="422" t="s">
        <v>41</v>
      </c>
      <c r="E36" s="434">
        <v>130000</v>
      </c>
    </row>
    <row r="37" spans="1:5" ht="18" customHeight="1">
      <c r="A37" s="29"/>
      <c r="B37" s="27"/>
      <c r="C37" s="444">
        <v>430</v>
      </c>
      <c r="D37" s="422" t="s">
        <v>42</v>
      </c>
      <c r="E37" s="434">
        <v>260000</v>
      </c>
    </row>
    <row r="38" spans="1:5" ht="18" customHeight="1">
      <c r="A38" s="29"/>
      <c r="B38" s="27"/>
      <c r="C38" s="444">
        <v>500</v>
      </c>
      <c r="D38" s="422" t="s">
        <v>43</v>
      </c>
      <c r="E38" s="434">
        <v>520000</v>
      </c>
    </row>
    <row r="39" spans="1:5" ht="18" customHeight="1">
      <c r="A39" s="29"/>
      <c r="B39" s="27"/>
      <c r="C39" s="444">
        <v>910</v>
      </c>
      <c r="D39" s="423" t="s">
        <v>36</v>
      </c>
      <c r="E39" s="434">
        <v>50000</v>
      </c>
    </row>
    <row r="40" spans="1:5" ht="19.5" customHeight="1">
      <c r="A40" s="29"/>
      <c r="B40" s="26">
        <v>75618</v>
      </c>
      <c r="C40" s="444">
        <v>410</v>
      </c>
      <c r="D40" s="422" t="s">
        <v>44</v>
      </c>
      <c r="E40" s="434">
        <v>85000</v>
      </c>
    </row>
    <row r="41" spans="1:5" ht="19.5" customHeight="1">
      <c r="A41" s="29"/>
      <c r="B41" s="26"/>
      <c r="C41" s="444">
        <v>480</v>
      </c>
      <c r="D41" s="422" t="s">
        <v>59</v>
      </c>
      <c r="E41" s="434">
        <v>340000</v>
      </c>
    </row>
    <row r="42" spans="1:5" ht="28.5" customHeight="1">
      <c r="A42" s="29"/>
      <c r="B42" s="26"/>
      <c r="C42" s="444">
        <v>490</v>
      </c>
      <c r="D42" s="423" t="s">
        <v>235</v>
      </c>
      <c r="E42" s="434">
        <v>25000</v>
      </c>
    </row>
    <row r="43" spans="1:5" ht="18" customHeight="1">
      <c r="A43" s="29"/>
      <c r="B43" s="26">
        <v>75621</v>
      </c>
      <c r="C43" s="444">
        <v>10</v>
      </c>
      <c r="D43" s="422" t="s">
        <v>45</v>
      </c>
      <c r="E43" s="434">
        <v>11281265</v>
      </c>
    </row>
    <row r="44" spans="1:5" ht="18" customHeight="1">
      <c r="A44" s="29"/>
      <c r="B44" s="26"/>
      <c r="C44" s="444">
        <v>20</v>
      </c>
      <c r="D44" s="422" t="s">
        <v>46</v>
      </c>
      <c r="E44" s="434">
        <v>400000</v>
      </c>
    </row>
    <row r="45" spans="1:5" ht="18" customHeight="1">
      <c r="A45" s="31" t="s">
        <v>47</v>
      </c>
      <c r="B45" s="26">
        <v>75814</v>
      </c>
      <c r="C45" s="444">
        <v>920</v>
      </c>
      <c r="D45" s="422" t="s">
        <v>49</v>
      </c>
      <c r="E45" s="434">
        <v>80000</v>
      </c>
    </row>
    <row r="46" spans="1:5" ht="51">
      <c r="A46" s="492" t="s">
        <v>416</v>
      </c>
      <c r="B46" s="450">
        <v>80195</v>
      </c>
      <c r="C46" s="444">
        <v>2007</v>
      </c>
      <c r="D46" s="423" t="s">
        <v>418</v>
      </c>
      <c r="E46" s="434">
        <v>516435</v>
      </c>
    </row>
    <row r="47" spans="1:5" ht="51">
      <c r="A47" s="426"/>
      <c r="B47" s="145"/>
      <c r="C47" s="444">
        <v>2009</v>
      </c>
      <c r="D47" s="423" t="s">
        <v>418</v>
      </c>
      <c r="E47" s="434">
        <f>607570-E46</f>
        <v>91135</v>
      </c>
    </row>
    <row r="48" spans="1:5" ht="12.75">
      <c r="A48" s="62" t="s">
        <v>51</v>
      </c>
      <c r="B48" s="26">
        <v>85228</v>
      </c>
      <c r="C48" s="444">
        <v>830</v>
      </c>
      <c r="D48" s="422" t="s">
        <v>52</v>
      </c>
      <c r="E48" s="434">
        <v>52000</v>
      </c>
    </row>
    <row r="49" spans="1:5" ht="12.75">
      <c r="A49" s="613" t="s">
        <v>267</v>
      </c>
      <c r="B49" s="450">
        <v>90019</v>
      </c>
      <c r="C49" s="444">
        <v>46</v>
      </c>
      <c r="D49" s="422" t="s">
        <v>414</v>
      </c>
      <c r="E49" s="434">
        <v>80000</v>
      </c>
    </row>
    <row r="50" spans="1:5" ht="12.75">
      <c r="A50" s="614"/>
      <c r="B50" s="472"/>
      <c r="C50" s="444">
        <v>69</v>
      </c>
      <c r="D50" s="422" t="s">
        <v>201</v>
      </c>
      <c r="E50" s="431">
        <v>100000</v>
      </c>
    </row>
    <row r="51" spans="1:5" ht="15.75">
      <c r="A51" s="607" t="s">
        <v>48</v>
      </c>
      <c r="B51" s="608"/>
      <c r="C51" s="608"/>
      <c r="D51" s="608"/>
      <c r="E51" s="437">
        <f>+E52+E53</f>
        <v>10654136</v>
      </c>
    </row>
    <row r="52" spans="1:5" ht="18" customHeight="1">
      <c r="A52" s="611" t="s">
        <v>47</v>
      </c>
      <c r="B52" s="26">
        <v>75801</v>
      </c>
      <c r="C52" s="57">
        <v>2920</v>
      </c>
      <c r="D52" s="423" t="s">
        <v>57</v>
      </c>
      <c r="E52" s="436">
        <v>10382380</v>
      </c>
    </row>
    <row r="53" spans="1:5" ht="18" customHeight="1">
      <c r="A53" s="612"/>
      <c r="B53" s="26">
        <v>75831</v>
      </c>
      <c r="C53" s="57">
        <v>2920</v>
      </c>
      <c r="D53" s="423" t="s">
        <v>50</v>
      </c>
      <c r="E53" s="436">
        <v>271756</v>
      </c>
    </row>
    <row r="54" spans="1:5" ht="15.75">
      <c r="A54" s="605" t="s">
        <v>53</v>
      </c>
      <c r="B54" s="606"/>
      <c r="C54" s="606"/>
      <c r="D54" s="606"/>
      <c r="E54" s="438">
        <f>SUM(E55:E60)</f>
        <v>4220444</v>
      </c>
    </row>
    <row r="55" spans="1:5" ht="39" customHeight="1">
      <c r="A55" s="144" t="s">
        <v>54</v>
      </c>
      <c r="B55" s="145">
        <v>75011</v>
      </c>
      <c r="C55" s="146">
        <v>2010</v>
      </c>
      <c r="D55" s="425" t="s">
        <v>60</v>
      </c>
      <c r="E55" s="436">
        <v>125324</v>
      </c>
    </row>
    <row r="56" spans="1:5" ht="38.25" customHeight="1">
      <c r="A56" s="449" t="s">
        <v>55</v>
      </c>
      <c r="B56" s="26">
        <v>75101</v>
      </c>
      <c r="C56" s="57">
        <v>2010</v>
      </c>
      <c r="D56" s="423" t="s">
        <v>351</v>
      </c>
      <c r="E56" s="436">
        <v>3720</v>
      </c>
    </row>
    <row r="57" spans="1:5" ht="25.5">
      <c r="A57" s="449" t="s">
        <v>402</v>
      </c>
      <c r="B57" s="26">
        <v>75212</v>
      </c>
      <c r="C57" s="57">
        <v>2010</v>
      </c>
      <c r="D57" s="423" t="s">
        <v>403</v>
      </c>
      <c r="E57" s="436">
        <v>400</v>
      </c>
    </row>
    <row r="58" spans="1:5" ht="38.25">
      <c r="A58" s="64" t="s">
        <v>56</v>
      </c>
      <c r="B58" s="26">
        <v>75414</v>
      </c>
      <c r="C58" s="57">
        <v>2010</v>
      </c>
      <c r="D58" s="423" t="s">
        <v>262</v>
      </c>
      <c r="E58" s="436">
        <v>1000</v>
      </c>
    </row>
    <row r="59" spans="1:5" ht="38.25">
      <c r="A59" s="62" t="s">
        <v>51</v>
      </c>
      <c r="B59" s="26">
        <v>85212</v>
      </c>
      <c r="C59" s="57">
        <v>2010</v>
      </c>
      <c r="D59" s="423" t="s">
        <v>64</v>
      </c>
      <c r="E59" s="436">
        <v>4086000</v>
      </c>
    </row>
    <row r="60" spans="1:5" ht="36" customHeight="1">
      <c r="A60" s="63"/>
      <c r="B60" s="26">
        <v>85213</v>
      </c>
      <c r="C60" s="57">
        <v>2010</v>
      </c>
      <c r="D60" s="423" t="s">
        <v>61</v>
      </c>
      <c r="E60" s="436">
        <v>4000</v>
      </c>
    </row>
    <row r="61" spans="1:5" ht="15.75">
      <c r="A61" s="605" t="s">
        <v>58</v>
      </c>
      <c r="B61" s="606"/>
      <c r="C61" s="606"/>
      <c r="D61" s="606"/>
      <c r="E61" s="438">
        <f>SUM(E62:E66)</f>
        <v>873500</v>
      </c>
    </row>
    <row r="62" spans="1:5" ht="18" customHeight="1">
      <c r="A62" s="31" t="s">
        <v>51</v>
      </c>
      <c r="B62" s="26">
        <v>85213</v>
      </c>
      <c r="C62" s="57">
        <v>2030</v>
      </c>
      <c r="D62" s="423" t="s">
        <v>244</v>
      </c>
      <c r="E62" s="436">
        <v>30200</v>
      </c>
    </row>
    <row r="63" spans="1:5" ht="25.5">
      <c r="A63" s="416"/>
      <c r="B63" s="26">
        <v>85214</v>
      </c>
      <c r="C63" s="57">
        <v>2030</v>
      </c>
      <c r="D63" s="423" t="s">
        <v>62</v>
      </c>
      <c r="E63" s="436">
        <v>121000</v>
      </c>
    </row>
    <row r="64" spans="1:5" ht="25.5">
      <c r="A64" s="31"/>
      <c r="B64" s="26">
        <v>85216</v>
      </c>
      <c r="C64" s="57">
        <v>2030</v>
      </c>
      <c r="D64" s="423" t="s">
        <v>294</v>
      </c>
      <c r="E64" s="436">
        <v>379000</v>
      </c>
    </row>
    <row r="65" spans="1:6" ht="25.5">
      <c r="A65" s="31"/>
      <c r="B65" s="26">
        <v>85219</v>
      </c>
      <c r="C65" s="57">
        <v>2030</v>
      </c>
      <c r="D65" s="423" t="s">
        <v>63</v>
      </c>
      <c r="E65" s="436">
        <v>290300</v>
      </c>
      <c r="F65" s="61"/>
    </row>
    <row r="66" spans="1:5" ht="25.5">
      <c r="A66" s="29"/>
      <c r="B66" s="26">
        <v>85295</v>
      </c>
      <c r="C66" s="57">
        <v>2030</v>
      </c>
      <c r="D66" s="423" t="s">
        <v>423</v>
      </c>
      <c r="E66" s="436">
        <v>53000</v>
      </c>
    </row>
    <row r="67" spans="1:5" ht="15.75">
      <c r="A67" s="605" t="s">
        <v>240</v>
      </c>
      <c r="B67" s="606"/>
      <c r="C67" s="606"/>
      <c r="D67" s="606"/>
      <c r="E67" s="439">
        <f>+E68</f>
        <v>1700</v>
      </c>
    </row>
    <row r="68" spans="1:5" ht="25.5">
      <c r="A68" s="62" t="s">
        <v>241</v>
      </c>
      <c r="B68" s="26">
        <v>71035</v>
      </c>
      <c r="C68" s="57">
        <v>2020</v>
      </c>
      <c r="D68" s="423" t="s">
        <v>242</v>
      </c>
      <c r="E68" s="436">
        <v>1700</v>
      </c>
    </row>
    <row r="69" spans="1:5" ht="34.5" customHeight="1">
      <c r="A69" s="63"/>
      <c r="B69" s="609" t="s">
        <v>236</v>
      </c>
      <c r="C69" s="610"/>
      <c r="D69" s="610"/>
      <c r="E69" s="437">
        <f>SUM(E70:E71,E74,E75,E81,E82,E86,E84,E88,E91)</f>
        <v>8315875</v>
      </c>
    </row>
    <row r="70" spans="1:5" ht="25.5">
      <c r="A70" s="64" t="s">
        <v>237</v>
      </c>
      <c r="B70" s="162">
        <v>70005</v>
      </c>
      <c r="C70" s="444">
        <v>760</v>
      </c>
      <c r="D70" s="423" t="s">
        <v>238</v>
      </c>
      <c r="E70" s="436">
        <v>10000</v>
      </c>
    </row>
    <row r="71" spans="1:5" ht="25.5">
      <c r="A71" s="148"/>
      <c r="B71" s="147"/>
      <c r="C71" s="445">
        <v>770</v>
      </c>
      <c r="D71" s="423" t="s">
        <v>246</v>
      </c>
      <c r="E71" s="436">
        <f>+E72+E73</f>
        <v>3150000</v>
      </c>
    </row>
    <row r="72" spans="1:5" ht="12.75">
      <c r="A72" s="149"/>
      <c r="B72" s="147"/>
      <c r="C72" s="446"/>
      <c r="D72" s="478" t="s">
        <v>31</v>
      </c>
      <c r="E72" s="477">
        <v>150000</v>
      </c>
    </row>
    <row r="73" spans="1:5" ht="25.5">
      <c r="A73" s="149"/>
      <c r="B73" s="147"/>
      <c r="C73" s="447"/>
      <c r="D73" s="478" t="s">
        <v>239</v>
      </c>
      <c r="E73" s="477">
        <f>1000000+2000000</f>
        <v>3000000</v>
      </c>
    </row>
    <row r="74" spans="1:5" ht="38.25">
      <c r="A74" s="149"/>
      <c r="B74" s="450">
        <v>70095</v>
      </c>
      <c r="C74" s="57">
        <v>6260</v>
      </c>
      <c r="D74" s="423" t="s">
        <v>266</v>
      </c>
      <c r="E74" s="436">
        <v>521371</v>
      </c>
    </row>
    <row r="75" spans="1:5" ht="51">
      <c r="A75" s="149"/>
      <c r="C75" s="474">
        <v>6207</v>
      </c>
      <c r="D75" s="423" t="s">
        <v>424</v>
      </c>
      <c r="E75" s="436">
        <f>SUM(E76:E80)</f>
        <v>2171200</v>
      </c>
    </row>
    <row r="76" spans="1:5" ht="25.5">
      <c r="A76" s="149"/>
      <c r="B76" s="147"/>
      <c r="C76" s="475"/>
      <c r="D76" s="476" t="s">
        <v>273</v>
      </c>
      <c r="E76" s="477">
        <f>900000*0.7</f>
        <v>630000</v>
      </c>
    </row>
    <row r="77" spans="1:5" ht="38.25">
      <c r="A77" s="149"/>
      <c r="B77" s="147"/>
      <c r="C77" s="475"/>
      <c r="D77" s="476" t="s">
        <v>354</v>
      </c>
      <c r="E77" s="477">
        <f>652000*0.7</f>
        <v>456400</v>
      </c>
    </row>
    <row r="78" spans="1:5" ht="25.5">
      <c r="A78" s="149"/>
      <c r="B78" s="147"/>
      <c r="C78" s="475"/>
      <c r="D78" s="476" t="s">
        <v>355</v>
      </c>
      <c r="E78" s="477">
        <f>264000*0.7</f>
        <v>184800</v>
      </c>
    </row>
    <row r="79" spans="1:5" ht="38.25">
      <c r="A79" s="149"/>
      <c r="B79" s="147"/>
      <c r="C79" s="475"/>
      <c r="D79" s="476" t="s">
        <v>348</v>
      </c>
      <c r="E79" s="477">
        <f>1350000*0.5</f>
        <v>675000</v>
      </c>
    </row>
    <row r="80" spans="1:5" ht="38.25">
      <c r="A80" s="149"/>
      <c r="B80" s="147"/>
      <c r="C80" s="475"/>
      <c r="D80" s="530" t="s">
        <v>356</v>
      </c>
      <c r="E80" s="477">
        <f>450000*0.5</f>
        <v>225000</v>
      </c>
    </row>
    <row r="81" spans="1:5" ht="12.75">
      <c r="A81" s="62" t="s">
        <v>54</v>
      </c>
      <c r="B81" s="450">
        <v>75023</v>
      </c>
      <c r="C81" s="474" t="s">
        <v>1054</v>
      </c>
      <c r="D81" s="594" t="s">
        <v>1055</v>
      </c>
      <c r="E81" s="477">
        <v>45000</v>
      </c>
    </row>
    <row r="82" spans="1:5" ht="51">
      <c r="A82" s="455" t="s">
        <v>400</v>
      </c>
      <c r="B82" s="450">
        <v>75412</v>
      </c>
      <c r="C82" s="474">
        <v>6207</v>
      </c>
      <c r="D82" s="423" t="s">
        <v>424</v>
      </c>
      <c r="E82" s="436">
        <f>+E83</f>
        <v>373163</v>
      </c>
    </row>
    <row r="83" spans="1:5" ht="12.75">
      <c r="A83" s="149"/>
      <c r="B83" s="147"/>
      <c r="C83" s="475"/>
      <c r="D83" s="476" t="s">
        <v>399</v>
      </c>
      <c r="E83" s="477">
        <v>373163</v>
      </c>
    </row>
    <row r="84" spans="1:5" ht="38.25">
      <c r="A84" s="64" t="s">
        <v>267</v>
      </c>
      <c r="B84" s="450">
        <v>90001</v>
      </c>
      <c r="C84" s="451">
        <v>6260</v>
      </c>
      <c r="D84" s="423" t="s">
        <v>433</v>
      </c>
      <c r="E84" s="436">
        <f>+E85</f>
        <v>222600</v>
      </c>
    </row>
    <row r="85" spans="1:5" ht="25.5">
      <c r="A85" s="449"/>
      <c r="B85" s="147"/>
      <c r="C85" s="454"/>
      <c r="D85" s="452" t="s">
        <v>379</v>
      </c>
      <c r="E85" s="453">
        <v>222600</v>
      </c>
    </row>
    <row r="86" spans="1:5" ht="51">
      <c r="A86" s="455"/>
      <c r="B86" s="147"/>
      <c r="C86" s="451">
        <v>6207</v>
      </c>
      <c r="D86" s="423" t="s">
        <v>432</v>
      </c>
      <c r="E86" s="453">
        <f>+E87</f>
        <v>890641</v>
      </c>
    </row>
    <row r="87" spans="1:5" ht="25.5">
      <c r="A87" s="455"/>
      <c r="B87" s="145"/>
      <c r="C87" s="472"/>
      <c r="D87" s="452" t="s">
        <v>419</v>
      </c>
      <c r="E87" s="453">
        <v>890641</v>
      </c>
    </row>
    <row r="88" spans="1:5" ht="51">
      <c r="A88" s="455"/>
      <c r="B88" s="147">
        <v>90015</v>
      </c>
      <c r="C88" s="490">
        <v>6207</v>
      </c>
      <c r="D88" s="423" t="s">
        <v>432</v>
      </c>
      <c r="E88" s="453">
        <f>+E89+E90</f>
        <v>640000</v>
      </c>
    </row>
    <row r="89" spans="1:5" ht="12.75">
      <c r="A89" s="455"/>
      <c r="B89" s="147"/>
      <c r="C89" s="473"/>
      <c r="D89" s="452" t="s">
        <v>398</v>
      </c>
      <c r="E89" s="453">
        <f>400000*0.7</f>
        <v>280000</v>
      </c>
    </row>
    <row r="90" spans="1:5" ht="25.5">
      <c r="A90" s="455"/>
      <c r="B90" s="147"/>
      <c r="C90" s="146"/>
      <c r="D90" s="452" t="s">
        <v>407</v>
      </c>
      <c r="E90" s="453">
        <v>360000</v>
      </c>
    </row>
    <row r="91" spans="1:5" ht="38.25">
      <c r="A91" s="455"/>
      <c r="B91" s="147">
        <v>90095</v>
      </c>
      <c r="C91" s="451">
        <v>6260</v>
      </c>
      <c r="D91" s="423" t="s">
        <v>378</v>
      </c>
      <c r="E91" s="453">
        <f>+E92</f>
        <v>291900</v>
      </c>
    </row>
    <row r="92" spans="1:5" ht="25.5">
      <c r="A92" s="455"/>
      <c r="B92" s="147"/>
      <c r="C92" s="454"/>
      <c r="D92" s="452" t="s">
        <v>380</v>
      </c>
      <c r="E92" s="453">
        <v>291900</v>
      </c>
    </row>
    <row r="93" spans="1:5" s="20" customFormat="1" ht="36" customHeight="1" thickBot="1">
      <c r="A93" s="596" t="s">
        <v>74</v>
      </c>
      <c r="B93" s="597"/>
      <c r="C93" s="597"/>
      <c r="D93" s="598"/>
      <c r="E93" s="440">
        <f>+E12+E69</f>
        <v>57365085</v>
      </c>
    </row>
    <row r="94" spans="2:5" ht="12.75">
      <c r="B94" s="1"/>
      <c r="C94" s="1"/>
      <c r="D94" s="1"/>
      <c r="E94" s="32"/>
    </row>
    <row r="95" spans="1:5" ht="31.5" customHeight="1" thickBot="1">
      <c r="A95" s="595" t="s">
        <v>214</v>
      </c>
      <c r="B95" s="595"/>
      <c r="C95" s="595"/>
      <c r="D95" s="595"/>
      <c r="E95" s="595"/>
    </row>
    <row r="96" spans="1:5" ht="13.5" thickBot="1">
      <c r="A96" s="428" t="s">
        <v>3</v>
      </c>
      <c r="B96" s="140" t="s">
        <v>4</v>
      </c>
      <c r="C96" s="140" t="s">
        <v>5</v>
      </c>
      <c r="D96" s="140" t="s">
        <v>25</v>
      </c>
      <c r="E96" s="567" t="s">
        <v>367</v>
      </c>
    </row>
    <row r="97" spans="1:5" ht="12.75">
      <c r="A97" s="426" t="s">
        <v>51</v>
      </c>
      <c r="B97" s="145">
        <v>85212</v>
      </c>
      <c r="C97" s="444">
        <v>970</v>
      </c>
      <c r="D97" s="427" t="s">
        <v>35</v>
      </c>
      <c r="E97" s="563">
        <v>6000</v>
      </c>
    </row>
    <row r="98" spans="1:5" ht="25.5">
      <c r="A98" s="484"/>
      <c r="B98" s="485"/>
      <c r="C98" s="445">
        <v>980</v>
      </c>
      <c r="D98" s="486" t="s">
        <v>406</v>
      </c>
      <c r="E98" s="564">
        <v>20000</v>
      </c>
    </row>
    <row r="99" spans="1:5" ht="16.5" thickBot="1">
      <c r="A99" s="487"/>
      <c r="B99" s="488"/>
      <c r="C99" s="489"/>
      <c r="D99" s="415" t="s">
        <v>289</v>
      </c>
      <c r="E99" s="565">
        <f>SUM(E97:E98)</f>
        <v>26000</v>
      </c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1"/>
      <c r="C114" s="1"/>
      <c r="D114" s="1"/>
      <c r="E114" s="1"/>
    </row>
    <row r="115" spans="2:5" ht="12.75">
      <c r="B115" s="1"/>
      <c r="C115" s="1"/>
      <c r="D115" s="1"/>
      <c r="E115" s="1"/>
    </row>
    <row r="116" spans="2:5" ht="12.75">
      <c r="B116" s="1"/>
      <c r="C116" s="1"/>
      <c r="D116" s="1"/>
      <c r="E116" s="1"/>
    </row>
    <row r="117" spans="2:5" ht="12.75"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2:5" ht="12.75">
      <c r="B119" s="1"/>
      <c r="C119" s="1"/>
      <c r="D119" s="1"/>
      <c r="E119" s="1"/>
    </row>
    <row r="120" spans="2:5" ht="12.75">
      <c r="B120" s="1"/>
      <c r="C120" s="1"/>
      <c r="D120" s="1"/>
      <c r="E120" s="1"/>
    </row>
    <row r="121" spans="2:5" ht="12.75">
      <c r="B121" s="1"/>
      <c r="C121" s="1"/>
      <c r="D121" s="1"/>
      <c r="E121" s="1"/>
    </row>
    <row r="122" spans="2:5" ht="12.75"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</sheetData>
  <mergeCells count="17">
    <mergeCell ref="A52:A53"/>
    <mergeCell ref="A49:A50"/>
    <mergeCell ref="B6:E6"/>
    <mergeCell ref="A10:A11"/>
    <mergeCell ref="B10:B11"/>
    <mergeCell ref="C10:C11"/>
    <mergeCell ref="D10:D11"/>
    <mergeCell ref="A95:E95"/>
    <mergeCell ref="A93:D93"/>
    <mergeCell ref="A13:D13"/>
    <mergeCell ref="A20:D20"/>
    <mergeCell ref="A23:D23"/>
    <mergeCell ref="A54:D54"/>
    <mergeCell ref="A51:D51"/>
    <mergeCell ref="B69:D69"/>
    <mergeCell ref="A67:D67"/>
    <mergeCell ref="A61:D61"/>
  </mergeCells>
  <printOptions horizontalCentered="1"/>
  <pageMargins left="0.5511811023622047" right="0.5511811023622047" top="0.38" bottom="0.35" header="0.27" footer="0.17"/>
  <pageSetup fitToHeight="10" horizontalDpi="300" verticalDpi="300" orientation="landscape" paperSize="9" scale="97" r:id="rId1"/>
  <headerFooter alignWithMargins="0">
    <oddFooter>&amp;C&amp;P / &amp;N</oddFooter>
  </headerFooter>
  <rowBreaks count="2" manualBreakCount="2">
    <brk id="68" max="7" man="1"/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3"/>
  <sheetViews>
    <sheetView view="pageBreakPreview" zoomScaleSheetLayoutView="100" workbookViewId="0" topLeftCell="A70">
      <selection activeCell="G252" sqref="G252"/>
    </sheetView>
  </sheetViews>
  <sheetFormatPr defaultColWidth="9.00390625" defaultRowHeight="12.75"/>
  <cols>
    <col min="1" max="1" width="4.625" style="1" customWidth="1"/>
    <col min="2" max="2" width="8.625" style="1" customWidth="1"/>
    <col min="3" max="3" width="54.625" style="1" customWidth="1"/>
    <col min="4" max="4" width="12.75390625" style="1" customWidth="1"/>
    <col min="5" max="7" width="13.625" style="1" customWidth="1"/>
    <col min="8" max="8" width="15.00390625" style="1" customWidth="1"/>
    <col min="9" max="9" width="11.625" style="1" customWidth="1"/>
    <col min="10" max="11" width="12.00390625" style="1" customWidth="1"/>
    <col min="12" max="12" width="12.75390625" style="1" customWidth="1"/>
    <col min="13" max="13" width="13.25390625" style="1" customWidth="1"/>
    <col min="14" max="15" width="13.00390625" style="0" customWidth="1"/>
    <col min="16" max="16" width="11.125" style="0" customWidth="1"/>
  </cols>
  <sheetData>
    <row r="1" ht="12.75">
      <c r="M1" t="s">
        <v>344</v>
      </c>
    </row>
    <row r="2" ht="12.75">
      <c r="M2" t="s">
        <v>443</v>
      </c>
    </row>
    <row r="3" ht="12.75">
      <c r="M3" t="s">
        <v>32</v>
      </c>
    </row>
    <row r="4" spans="1:15" ht="12.75">
      <c r="A4" s="4"/>
      <c r="B4" s="4"/>
      <c r="C4" s="4"/>
      <c r="D4" s="4"/>
      <c r="E4" s="4"/>
      <c r="F4" s="4"/>
      <c r="G4" s="4"/>
      <c r="H4" s="4"/>
      <c r="I4" s="285"/>
      <c r="J4" s="285"/>
      <c r="K4" s="285"/>
      <c r="M4" t="s">
        <v>444</v>
      </c>
      <c r="N4" s="285"/>
      <c r="O4" s="285"/>
    </row>
    <row r="5" spans="1:15" ht="18">
      <c r="A5" s="568" t="s">
        <v>365</v>
      </c>
      <c r="B5" s="568"/>
      <c r="C5" s="568"/>
      <c r="D5" s="568"/>
      <c r="E5" s="568"/>
      <c r="F5" s="568"/>
      <c r="G5" s="568"/>
      <c r="H5" s="568"/>
      <c r="I5" s="285"/>
      <c r="J5" s="285"/>
      <c r="K5" s="285"/>
      <c r="L5" s="285"/>
      <c r="M5" s="285"/>
      <c r="N5" s="285"/>
      <c r="O5" s="285"/>
    </row>
    <row r="6" spans="1:15" ht="13.5" thickBot="1">
      <c r="A6" s="67"/>
      <c r="B6" s="67"/>
      <c r="C6" s="67"/>
      <c r="D6" s="67"/>
      <c r="E6" s="67"/>
      <c r="F6" s="67"/>
      <c r="G6" s="67"/>
      <c r="H6" s="3"/>
      <c r="I6" s="68"/>
      <c r="J6" s="68"/>
      <c r="K6" s="68"/>
      <c r="L6" s="68"/>
      <c r="M6" s="69"/>
      <c r="N6" s="286" t="s">
        <v>306</v>
      </c>
      <c r="O6" s="286"/>
    </row>
    <row r="7" spans="1:16" s="17" customFormat="1" ht="13.5" customHeight="1" thickBot="1">
      <c r="A7" s="588" t="s">
        <v>3</v>
      </c>
      <c r="B7" s="629" t="s">
        <v>4</v>
      </c>
      <c r="C7" s="627" t="s">
        <v>13</v>
      </c>
      <c r="D7" s="624" t="s">
        <v>364</v>
      </c>
      <c r="E7" s="631" t="s">
        <v>22</v>
      </c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3"/>
    </row>
    <row r="8" spans="1:16" s="17" customFormat="1" ht="12.75">
      <c r="A8" s="589"/>
      <c r="B8" s="630"/>
      <c r="C8" s="628"/>
      <c r="D8" s="587"/>
      <c r="E8" s="588" t="s">
        <v>15</v>
      </c>
      <c r="F8" s="627" t="s">
        <v>7</v>
      </c>
      <c r="G8" s="572"/>
      <c r="H8" s="572"/>
      <c r="I8" s="223"/>
      <c r="J8" s="223"/>
      <c r="K8" s="223"/>
      <c r="L8" s="224"/>
      <c r="M8" s="588" t="s">
        <v>16</v>
      </c>
      <c r="N8" s="572" t="s">
        <v>298</v>
      </c>
      <c r="O8" s="572"/>
      <c r="P8" s="573"/>
    </row>
    <row r="9" spans="1:16" s="17" customFormat="1" ht="15" customHeight="1">
      <c r="A9" s="589"/>
      <c r="B9" s="630"/>
      <c r="C9" s="628"/>
      <c r="D9" s="587"/>
      <c r="E9" s="589"/>
      <c r="F9" s="590" t="s">
        <v>297</v>
      </c>
      <c r="G9" s="625" t="s">
        <v>298</v>
      </c>
      <c r="H9" s="626"/>
      <c r="I9" s="590" t="s">
        <v>23</v>
      </c>
      <c r="J9" s="590" t="s">
        <v>366</v>
      </c>
      <c r="K9" s="625" t="s">
        <v>381</v>
      </c>
      <c r="L9" s="592" t="s">
        <v>255</v>
      </c>
      <c r="M9" s="589"/>
      <c r="N9" s="622" t="s">
        <v>299</v>
      </c>
      <c r="O9" s="529" t="s">
        <v>7</v>
      </c>
      <c r="P9" s="569" t="s">
        <v>300</v>
      </c>
    </row>
    <row r="10" spans="1:16" s="17" customFormat="1" ht="69.75" customHeight="1">
      <c r="A10" s="589"/>
      <c r="B10" s="630"/>
      <c r="C10" s="628"/>
      <c r="D10" s="587"/>
      <c r="E10" s="589"/>
      <c r="F10" s="591"/>
      <c r="G10" s="168" t="s">
        <v>249</v>
      </c>
      <c r="H10" s="225" t="s">
        <v>301</v>
      </c>
      <c r="I10" s="591"/>
      <c r="J10" s="591"/>
      <c r="K10" s="634"/>
      <c r="L10" s="571"/>
      <c r="M10" s="589"/>
      <c r="N10" s="623"/>
      <c r="O10" s="555" t="s">
        <v>437</v>
      </c>
      <c r="P10" s="570"/>
    </row>
    <row r="11" spans="1:16" s="17" customFormat="1" ht="12.75">
      <c r="A11" s="169">
        <v>1</v>
      </c>
      <c r="B11" s="170">
        <v>2</v>
      </c>
      <c r="C11" s="170">
        <v>3</v>
      </c>
      <c r="D11" s="169">
        <v>4</v>
      </c>
      <c r="E11" s="169">
        <v>5</v>
      </c>
      <c r="F11" s="170">
        <v>6</v>
      </c>
      <c r="G11" s="170">
        <v>7</v>
      </c>
      <c r="H11" s="170">
        <v>8</v>
      </c>
      <c r="I11" s="170">
        <v>9</v>
      </c>
      <c r="J11" s="170">
        <v>10</v>
      </c>
      <c r="K11" s="456"/>
      <c r="L11" s="199">
        <v>11</v>
      </c>
      <c r="M11" s="169">
        <v>12</v>
      </c>
      <c r="N11" s="456">
        <v>13</v>
      </c>
      <c r="O11" s="556">
        <v>14</v>
      </c>
      <c r="P11" s="560">
        <v>15</v>
      </c>
    </row>
    <row r="12" spans="1:17" s="17" customFormat="1" ht="15">
      <c r="A12" s="279" t="s">
        <v>217</v>
      </c>
      <c r="B12" s="277"/>
      <c r="C12" s="84" t="s">
        <v>65</v>
      </c>
      <c r="D12" s="231">
        <f aca="true" t="shared" si="0" ref="D12:D21">+E12+M12</f>
        <v>45000</v>
      </c>
      <c r="E12" s="231">
        <f>+E13+E15</f>
        <v>45000</v>
      </c>
      <c r="F12" s="85">
        <f aca="true" t="shared" si="1" ref="F12:F17">+G12+H12</f>
        <v>45000</v>
      </c>
      <c r="G12" s="85">
        <f>+G13+G15</f>
        <v>0</v>
      </c>
      <c r="H12" s="85">
        <f>+H13+H15</f>
        <v>45000</v>
      </c>
      <c r="I12" s="85">
        <f>+I13+I15</f>
        <v>0</v>
      </c>
      <c r="J12" s="85"/>
      <c r="K12" s="457"/>
      <c r="L12" s="232">
        <f>+L13+L15</f>
        <v>0</v>
      </c>
      <c r="M12" s="215">
        <f>+N12+P12</f>
        <v>0</v>
      </c>
      <c r="N12" s="457">
        <f>+N13+N15</f>
        <v>0</v>
      </c>
      <c r="O12" s="85">
        <f>+O13+O15</f>
        <v>0</v>
      </c>
      <c r="P12" s="532">
        <f>+P13+P15</f>
        <v>0</v>
      </c>
      <c r="Q12" s="465">
        <f>SUM(I12:L12,F12)-E12</f>
        <v>0</v>
      </c>
    </row>
    <row r="13" spans="1:16" s="17" customFormat="1" ht="12.75">
      <c r="A13" s="108"/>
      <c r="B13" s="81">
        <v>1008</v>
      </c>
      <c r="C13" s="82" t="s">
        <v>66</v>
      </c>
      <c r="D13" s="230">
        <f t="shared" si="0"/>
        <v>30000</v>
      </c>
      <c r="E13" s="230">
        <f>+E14</f>
        <v>30000</v>
      </c>
      <c r="F13" s="74">
        <f t="shared" si="1"/>
        <v>30000</v>
      </c>
      <c r="G13" s="74"/>
      <c r="H13" s="74">
        <f>+H14</f>
        <v>30000</v>
      </c>
      <c r="I13" s="74"/>
      <c r="J13" s="74"/>
      <c r="K13" s="172"/>
      <c r="L13" s="206">
        <f>+L14</f>
        <v>0</v>
      </c>
      <c r="M13" s="204"/>
      <c r="N13" s="509"/>
      <c r="O13" s="157"/>
      <c r="P13" s="533"/>
    </row>
    <row r="14" spans="1:16" s="17" customFormat="1" ht="12.75">
      <c r="A14" s="108"/>
      <c r="B14" s="79"/>
      <c r="C14" s="80" t="s">
        <v>67</v>
      </c>
      <c r="D14" s="228">
        <f t="shared" si="0"/>
        <v>30000</v>
      </c>
      <c r="E14" s="228">
        <f>+H14</f>
        <v>30000</v>
      </c>
      <c r="F14" s="49">
        <f t="shared" si="1"/>
        <v>30000</v>
      </c>
      <c r="G14" s="49"/>
      <c r="H14" s="49">
        <v>30000</v>
      </c>
      <c r="I14" s="49" t="s">
        <v>14</v>
      </c>
      <c r="J14" s="49"/>
      <c r="K14" s="171"/>
      <c r="L14" s="229"/>
      <c r="M14" s="204"/>
      <c r="N14" s="509"/>
      <c r="O14" s="157"/>
      <c r="P14" s="533"/>
    </row>
    <row r="15" spans="1:16" s="17" customFormat="1" ht="12.75">
      <c r="A15" s="108"/>
      <c r="B15" s="81">
        <v>1030</v>
      </c>
      <c r="C15" s="82" t="s">
        <v>68</v>
      </c>
      <c r="D15" s="230">
        <f t="shared" si="0"/>
        <v>15000</v>
      </c>
      <c r="E15" s="230">
        <f>+E16</f>
        <v>15000</v>
      </c>
      <c r="F15" s="74">
        <f t="shared" si="1"/>
        <v>15000</v>
      </c>
      <c r="G15" s="74"/>
      <c r="H15" s="74">
        <f>+H16</f>
        <v>15000</v>
      </c>
      <c r="I15" s="74"/>
      <c r="J15" s="74"/>
      <c r="K15" s="172"/>
      <c r="L15" s="206">
        <f>+L16</f>
        <v>0</v>
      </c>
      <c r="M15" s="204"/>
      <c r="N15" s="509"/>
      <c r="O15" s="157"/>
      <c r="P15" s="533"/>
    </row>
    <row r="16" spans="1:16" s="17" customFormat="1" ht="12.75">
      <c r="A16" s="118"/>
      <c r="B16" s="121"/>
      <c r="C16" s="122" t="s">
        <v>69</v>
      </c>
      <c r="D16" s="250">
        <f t="shared" si="0"/>
        <v>15000</v>
      </c>
      <c r="E16" s="250">
        <f>+H16</f>
        <v>15000</v>
      </c>
      <c r="F16" s="47">
        <f t="shared" si="1"/>
        <v>15000</v>
      </c>
      <c r="G16" s="47"/>
      <c r="H16" s="47">
        <v>15000</v>
      </c>
      <c r="I16" s="47" t="s">
        <v>14</v>
      </c>
      <c r="J16" s="47"/>
      <c r="K16" s="458"/>
      <c r="L16" s="251"/>
      <c r="M16" s="278"/>
      <c r="N16" s="510"/>
      <c r="O16" s="198"/>
      <c r="P16" s="534"/>
    </row>
    <row r="17" spans="1:17" s="17" customFormat="1" ht="15">
      <c r="A17" s="104">
        <v>600</v>
      </c>
      <c r="B17" s="83"/>
      <c r="C17" s="84" t="s">
        <v>70</v>
      </c>
      <c r="D17" s="252">
        <f t="shared" si="0"/>
        <v>4454640</v>
      </c>
      <c r="E17" s="231">
        <f>+E18+E22</f>
        <v>2165000</v>
      </c>
      <c r="F17" s="75">
        <f t="shared" si="1"/>
        <v>2165000</v>
      </c>
      <c r="G17" s="85"/>
      <c r="H17" s="85">
        <f>+H18+H22</f>
        <v>2165000</v>
      </c>
      <c r="I17" s="85">
        <f>+I18+I20+I22</f>
        <v>0</v>
      </c>
      <c r="J17" s="85"/>
      <c r="K17" s="457"/>
      <c r="L17" s="232"/>
      <c r="M17" s="201">
        <f>+N17+P17</f>
        <v>2289640</v>
      </c>
      <c r="N17" s="511">
        <f>+N18+N20+N22</f>
        <v>2289640</v>
      </c>
      <c r="O17" s="493">
        <f>+O18+O22</f>
        <v>1650000</v>
      </c>
      <c r="P17" s="535">
        <f>+P18+P22</f>
        <v>0</v>
      </c>
      <c r="Q17" s="465">
        <f>SUM(I17:L17,F17)-E17</f>
        <v>0</v>
      </c>
    </row>
    <row r="18" spans="1:16" s="17" customFormat="1" ht="12.75">
      <c r="A18" s="108"/>
      <c r="B18" s="76">
        <v>60004</v>
      </c>
      <c r="C18" s="77" t="s">
        <v>72</v>
      </c>
      <c r="D18" s="226">
        <f t="shared" si="0"/>
        <v>1048500</v>
      </c>
      <c r="E18" s="226">
        <f>+E19</f>
        <v>1048500</v>
      </c>
      <c r="F18" s="78">
        <f>+F19</f>
        <v>1048500</v>
      </c>
      <c r="G18" s="78"/>
      <c r="H18" s="78">
        <f>+H19</f>
        <v>1048500</v>
      </c>
      <c r="I18" s="78"/>
      <c r="J18" s="78"/>
      <c r="K18" s="459"/>
      <c r="L18" s="227"/>
      <c r="M18" s="200"/>
      <c r="N18" s="509"/>
      <c r="O18" s="157"/>
      <c r="P18" s="533"/>
    </row>
    <row r="19" spans="1:16" s="17" customFormat="1" ht="12.75">
      <c r="A19" s="108"/>
      <c r="B19" s="79"/>
      <c r="C19" s="80" t="s">
        <v>71</v>
      </c>
      <c r="D19" s="228">
        <f t="shared" si="0"/>
        <v>1048500</v>
      </c>
      <c r="E19" s="228">
        <f>SUM(F19,I19:L19)</f>
        <v>1048500</v>
      </c>
      <c r="F19" s="49">
        <f>+G19+H19</f>
        <v>1048500</v>
      </c>
      <c r="G19" s="49"/>
      <c r="H19" s="49">
        <v>1048500</v>
      </c>
      <c r="I19" s="49"/>
      <c r="J19" s="49"/>
      <c r="K19" s="171"/>
      <c r="L19" s="229"/>
      <c r="M19" s="203"/>
      <c r="N19" s="509"/>
      <c r="O19" s="157"/>
      <c r="P19" s="533"/>
    </row>
    <row r="20" spans="1:16" s="17" customFormat="1" ht="12.75">
      <c r="A20" s="108"/>
      <c r="B20" s="81">
        <v>60014</v>
      </c>
      <c r="C20" s="82" t="s">
        <v>369</v>
      </c>
      <c r="D20" s="230">
        <f t="shared" si="0"/>
        <v>260000</v>
      </c>
      <c r="E20" s="230">
        <f>+F20+I20+J20+K20+L20</f>
        <v>0</v>
      </c>
      <c r="F20" s="49"/>
      <c r="G20" s="49"/>
      <c r="H20" s="49"/>
      <c r="I20" s="74">
        <f>+I21</f>
        <v>0</v>
      </c>
      <c r="J20" s="49"/>
      <c r="K20" s="171"/>
      <c r="L20" s="229"/>
      <c r="M20" s="204">
        <f>+N20+P20</f>
        <v>260000</v>
      </c>
      <c r="N20" s="512">
        <f>+N21</f>
        <v>260000</v>
      </c>
      <c r="O20" s="186">
        <f>+O21</f>
        <v>0</v>
      </c>
      <c r="P20" s="536">
        <f>+P21</f>
        <v>0</v>
      </c>
    </row>
    <row r="21" spans="1:16" s="17" customFormat="1" ht="12.75">
      <c r="A21" s="108"/>
      <c r="B21" s="79"/>
      <c r="C21" s="80" t="s">
        <v>415</v>
      </c>
      <c r="D21" s="228">
        <f t="shared" si="0"/>
        <v>260000</v>
      </c>
      <c r="E21" s="228">
        <f>+F21+I21+J21+K21+L21</f>
        <v>0</v>
      </c>
      <c r="F21" s="49"/>
      <c r="G21" s="49"/>
      <c r="H21" s="49"/>
      <c r="I21" s="49">
        <v>0</v>
      </c>
      <c r="J21" s="49"/>
      <c r="K21" s="171"/>
      <c r="L21" s="229"/>
      <c r="M21" s="203">
        <f>+N21+P21</f>
        <v>260000</v>
      </c>
      <c r="N21" s="513">
        <v>260000</v>
      </c>
      <c r="O21" s="184"/>
      <c r="P21" s="533"/>
    </row>
    <row r="22" spans="1:16" s="17" customFormat="1" ht="12.75">
      <c r="A22" s="108"/>
      <c r="B22" s="81">
        <v>60016</v>
      </c>
      <c r="C22" s="82" t="s">
        <v>73</v>
      </c>
      <c r="D22" s="230">
        <f aca="true" t="shared" si="2" ref="D22:D44">+E22+M22</f>
        <v>3146140</v>
      </c>
      <c r="E22" s="230">
        <f>SUM(E23:E28)</f>
        <v>1116500</v>
      </c>
      <c r="F22" s="74">
        <f aca="true" t="shared" si="3" ref="F22:F28">+G22+H22</f>
        <v>1116500</v>
      </c>
      <c r="G22" s="74"/>
      <c r="H22" s="74">
        <f>SUM(H23:H28)</f>
        <v>1116500</v>
      </c>
      <c r="I22" s="74"/>
      <c r="J22" s="74"/>
      <c r="K22" s="172"/>
      <c r="L22" s="206"/>
      <c r="M22" s="204">
        <f>+N22</f>
        <v>2029640</v>
      </c>
      <c r="N22" s="512">
        <f>+N29</f>
        <v>2029640</v>
      </c>
      <c r="O22" s="187">
        <f>+O29</f>
        <v>1650000</v>
      </c>
      <c r="P22" s="537">
        <f>+P29</f>
        <v>0</v>
      </c>
    </row>
    <row r="23" spans="1:16" s="17" customFormat="1" ht="12.75">
      <c r="A23" s="108"/>
      <c r="B23" s="79"/>
      <c r="C23" s="80" t="s">
        <v>75</v>
      </c>
      <c r="D23" s="228">
        <f t="shared" si="2"/>
        <v>450000</v>
      </c>
      <c r="E23" s="228">
        <f aca="true" t="shared" si="4" ref="E23:E28">SUM(F23,I23:L23)</f>
        <v>450000</v>
      </c>
      <c r="F23" s="49">
        <f t="shared" si="3"/>
        <v>450000</v>
      </c>
      <c r="G23" s="49"/>
      <c r="H23" s="49">
        <f>700000-250000</f>
        <v>450000</v>
      </c>
      <c r="I23" s="49"/>
      <c r="J23" s="49"/>
      <c r="K23" s="171"/>
      <c r="L23" s="229"/>
      <c r="M23" s="203"/>
      <c r="N23" s="509"/>
      <c r="O23" s="157"/>
      <c r="P23" s="533"/>
    </row>
    <row r="24" spans="1:16" s="17" customFormat="1" ht="12.75">
      <c r="A24" s="150"/>
      <c r="B24" s="86"/>
      <c r="C24" s="49" t="s">
        <v>76</v>
      </c>
      <c r="D24" s="228">
        <f t="shared" si="2"/>
        <v>350000</v>
      </c>
      <c r="E24" s="228">
        <f t="shared" si="4"/>
        <v>350000</v>
      </c>
      <c r="F24" s="49">
        <f t="shared" si="3"/>
        <v>350000</v>
      </c>
      <c r="G24" s="49"/>
      <c r="H24" s="49">
        <f>500000-150000</f>
        <v>350000</v>
      </c>
      <c r="I24" s="49"/>
      <c r="J24" s="49"/>
      <c r="K24" s="171"/>
      <c r="L24" s="229"/>
      <c r="M24" s="203"/>
      <c r="N24" s="509"/>
      <c r="O24" s="157"/>
      <c r="P24" s="533"/>
    </row>
    <row r="25" spans="1:16" s="17" customFormat="1" ht="12.75">
      <c r="A25" s="150"/>
      <c r="B25" s="87"/>
      <c r="C25" s="46" t="s">
        <v>77</v>
      </c>
      <c r="D25" s="238">
        <f t="shared" si="2"/>
        <v>100000</v>
      </c>
      <c r="E25" s="228">
        <f t="shared" si="4"/>
        <v>100000</v>
      </c>
      <c r="F25" s="49">
        <f t="shared" si="3"/>
        <v>100000</v>
      </c>
      <c r="G25" s="46"/>
      <c r="H25" s="46">
        <v>100000</v>
      </c>
      <c r="I25" s="46"/>
      <c r="J25" s="46"/>
      <c r="K25" s="173"/>
      <c r="L25" s="233"/>
      <c r="M25" s="205"/>
      <c r="N25" s="509"/>
      <c r="O25" s="157"/>
      <c r="P25" s="533"/>
    </row>
    <row r="26" spans="1:16" s="17" customFormat="1" ht="12.75">
      <c r="A26" s="150"/>
      <c r="B26" s="86"/>
      <c r="C26" s="49" t="s">
        <v>78</v>
      </c>
      <c r="D26" s="228">
        <f t="shared" si="2"/>
        <v>200000</v>
      </c>
      <c r="E26" s="228">
        <f t="shared" si="4"/>
        <v>200000</v>
      </c>
      <c r="F26" s="49">
        <f t="shared" si="3"/>
        <v>200000</v>
      </c>
      <c r="G26" s="49"/>
      <c r="H26" s="49">
        <v>200000</v>
      </c>
      <c r="I26" s="49"/>
      <c r="J26" s="49"/>
      <c r="K26" s="171"/>
      <c r="L26" s="229"/>
      <c r="M26" s="203"/>
      <c r="N26" s="509"/>
      <c r="O26" s="157"/>
      <c r="P26" s="533"/>
    </row>
    <row r="27" spans="1:16" s="17" customFormat="1" ht="12.75">
      <c r="A27" s="150"/>
      <c r="B27" s="86"/>
      <c r="C27" s="49" t="s">
        <v>293</v>
      </c>
      <c r="D27" s="228">
        <f t="shared" si="2"/>
        <v>10000</v>
      </c>
      <c r="E27" s="228">
        <f t="shared" si="4"/>
        <v>10000</v>
      </c>
      <c r="F27" s="49">
        <f t="shared" si="3"/>
        <v>10000</v>
      </c>
      <c r="G27" s="49"/>
      <c r="H27" s="49">
        <v>10000</v>
      </c>
      <c r="I27" s="49"/>
      <c r="J27" s="49"/>
      <c r="K27" s="171"/>
      <c r="L27" s="229"/>
      <c r="M27" s="203"/>
      <c r="N27" s="509"/>
      <c r="O27" s="157"/>
      <c r="P27" s="533"/>
    </row>
    <row r="28" spans="1:16" s="17" customFormat="1" ht="12.75">
      <c r="A28" s="150"/>
      <c r="B28" s="86"/>
      <c r="C28" s="49" t="s">
        <v>290</v>
      </c>
      <c r="D28" s="228">
        <f t="shared" si="2"/>
        <v>6500</v>
      </c>
      <c r="E28" s="228">
        <f t="shared" si="4"/>
        <v>6500</v>
      </c>
      <c r="F28" s="49">
        <f t="shared" si="3"/>
        <v>6500</v>
      </c>
      <c r="G28" s="49"/>
      <c r="H28" s="49">
        <v>6500</v>
      </c>
      <c r="I28" s="49"/>
      <c r="J28" s="49"/>
      <c r="K28" s="171"/>
      <c r="L28" s="229"/>
      <c r="M28" s="203"/>
      <c r="N28" s="509"/>
      <c r="O28" s="157"/>
      <c r="P28" s="533"/>
    </row>
    <row r="29" spans="1:16" s="17" customFormat="1" ht="12.75">
      <c r="A29" s="150"/>
      <c r="B29" s="86"/>
      <c r="C29" s="74" t="s">
        <v>194</v>
      </c>
      <c r="D29" s="230">
        <f t="shared" si="2"/>
        <v>2029640</v>
      </c>
      <c r="E29" s="230"/>
      <c r="F29" s="49"/>
      <c r="G29" s="74"/>
      <c r="H29" s="74"/>
      <c r="I29" s="74"/>
      <c r="J29" s="74"/>
      <c r="K29" s="172"/>
      <c r="L29" s="206"/>
      <c r="M29" s="204">
        <f aca="true" t="shared" si="5" ref="M29:M36">+N29+P29</f>
        <v>2029640</v>
      </c>
      <c r="N29" s="172">
        <f>SUM(N30:N35)</f>
        <v>2029640</v>
      </c>
      <c r="O29" s="74">
        <f>SUM(O30:O35)</f>
        <v>1650000</v>
      </c>
      <c r="P29" s="538">
        <f>SUM(P30:P35)</f>
        <v>0</v>
      </c>
    </row>
    <row r="30" spans="1:16" s="17" customFormat="1" ht="12.75">
      <c r="A30" s="281"/>
      <c r="B30" s="161"/>
      <c r="C30" s="88" t="s">
        <v>391</v>
      </c>
      <c r="D30" s="234">
        <f t="shared" si="2"/>
        <v>14640</v>
      </c>
      <c r="E30" s="234"/>
      <c r="F30" s="49"/>
      <c r="G30" s="88"/>
      <c r="H30" s="88"/>
      <c r="I30" s="88"/>
      <c r="J30" s="88"/>
      <c r="K30" s="174"/>
      <c r="L30" s="235"/>
      <c r="M30" s="207">
        <f t="shared" si="5"/>
        <v>14640</v>
      </c>
      <c r="N30" s="174">
        <f>850000+14640-850000</f>
        <v>14640</v>
      </c>
      <c r="O30" s="88"/>
      <c r="P30" s="533"/>
    </row>
    <row r="31" spans="1:16" s="17" customFormat="1" ht="12.75">
      <c r="A31" s="150"/>
      <c r="B31" s="86"/>
      <c r="C31" s="88" t="s">
        <v>304</v>
      </c>
      <c r="D31" s="234">
        <f t="shared" si="2"/>
        <v>100000</v>
      </c>
      <c r="E31" s="234"/>
      <c r="F31" s="49"/>
      <c r="G31" s="88"/>
      <c r="H31" s="88"/>
      <c r="I31" s="88"/>
      <c r="J31" s="88"/>
      <c r="K31" s="174"/>
      <c r="L31" s="235"/>
      <c r="M31" s="207">
        <f t="shared" si="5"/>
        <v>100000</v>
      </c>
      <c r="N31" s="174">
        <v>100000</v>
      </c>
      <c r="O31" s="88"/>
      <c r="P31" s="533"/>
    </row>
    <row r="32" spans="1:16" s="17" customFormat="1" ht="12.75">
      <c r="A32" s="150"/>
      <c r="B32" s="86"/>
      <c r="C32" s="88" t="s">
        <v>370</v>
      </c>
      <c r="D32" s="234">
        <f t="shared" si="2"/>
        <v>1000000</v>
      </c>
      <c r="E32" s="234"/>
      <c r="F32" s="49"/>
      <c r="G32" s="88"/>
      <c r="H32" s="88"/>
      <c r="I32" s="88"/>
      <c r="J32" s="88"/>
      <c r="K32" s="174"/>
      <c r="L32" s="235"/>
      <c r="M32" s="207">
        <f t="shared" si="5"/>
        <v>1000000</v>
      </c>
      <c r="N32" s="174">
        <v>1000000</v>
      </c>
      <c r="O32" s="88">
        <f>+N32</f>
        <v>1000000</v>
      </c>
      <c r="P32" s="533"/>
    </row>
    <row r="33" spans="1:16" s="17" customFormat="1" ht="12.75">
      <c r="A33" s="150"/>
      <c r="B33" s="86"/>
      <c r="C33" s="88" t="s">
        <v>426</v>
      </c>
      <c r="D33" s="234">
        <f t="shared" si="2"/>
        <v>65000</v>
      </c>
      <c r="E33" s="234"/>
      <c r="F33" s="49"/>
      <c r="G33" s="88"/>
      <c r="H33" s="88"/>
      <c r="I33" s="88"/>
      <c r="J33" s="88"/>
      <c r="K33" s="174"/>
      <c r="L33" s="235"/>
      <c r="M33" s="207">
        <f t="shared" si="5"/>
        <v>65000</v>
      </c>
      <c r="N33" s="174">
        <v>65000</v>
      </c>
      <c r="O33" s="88"/>
      <c r="P33" s="533"/>
    </row>
    <row r="34" spans="1:16" s="17" customFormat="1" ht="25.5">
      <c r="A34" s="150"/>
      <c r="B34" s="86"/>
      <c r="C34" s="88" t="s">
        <v>362</v>
      </c>
      <c r="D34" s="234">
        <f t="shared" si="2"/>
        <v>200000</v>
      </c>
      <c r="E34" s="234"/>
      <c r="F34" s="49"/>
      <c r="G34" s="88"/>
      <c r="H34" s="88"/>
      <c r="I34" s="88"/>
      <c r="J34" s="88"/>
      <c r="K34" s="174"/>
      <c r="L34" s="235"/>
      <c r="M34" s="207">
        <f t="shared" si="5"/>
        <v>200000</v>
      </c>
      <c r="N34" s="174">
        <f>1000000-800000</f>
        <v>200000</v>
      </c>
      <c r="O34" s="88"/>
      <c r="P34" s="533"/>
    </row>
    <row r="35" spans="1:16" s="17" customFormat="1" ht="38.25">
      <c r="A35" s="282"/>
      <c r="B35" s="86"/>
      <c r="C35" s="88" t="s">
        <v>427</v>
      </c>
      <c r="D35" s="234">
        <f t="shared" si="2"/>
        <v>650000</v>
      </c>
      <c r="E35" s="234"/>
      <c r="F35" s="49"/>
      <c r="G35" s="88"/>
      <c r="H35" s="88"/>
      <c r="I35" s="88"/>
      <c r="J35" s="88"/>
      <c r="K35" s="174"/>
      <c r="L35" s="235"/>
      <c r="M35" s="207">
        <f t="shared" si="5"/>
        <v>650000</v>
      </c>
      <c r="N35" s="174">
        <f>1000000-350000</f>
        <v>650000</v>
      </c>
      <c r="O35" s="88">
        <f>+N35</f>
        <v>650000</v>
      </c>
      <c r="P35" s="533"/>
    </row>
    <row r="36" spans="1:17" s="17" customFormat="1" ht="15">
      <c r="A36" s="467">
        <v>700</v>
      </c>
      <c r="B36" s="90"/>
      <c r="C36" s="73" t="s">
        <v>80</v>
      </c>
      <c r="D36" s="236">
        <f t="shared" si="2"/>
        <v>7661303</v>
      </c>
      <c r="E36" s="236">
        <f>+E37+E50+E52</f>
        <v>3304800</v>
      </c>
      <c r="F36" s="73">
        <f>+F37+F50+F52</f>
        <v>3304800</v>
      </c>
      <c r="G36" s="73">
        <f>+G37+G50+G52</f>
        <v>20000</v>
      </c>
      <c r="H36" s="73">
        <f>+H37+H50+H52</f>
        <v>3284800</v>
      </c>
      <c r="I36" s="73">
        <f>+I37+I50+I52</f>
        <v>0</v>
      </c>
      <c r="J36" s="73"/>
      <c r="K36" s="175"/>
      <c r="L36" s="209">
        <f>+L37+L50+L52</f>
        <v>0</v>
      </c>
      <c r="M36" s="208">
        <f t="shared" si="5"/>
        <v>4356503</v>
      </c>
      <c r="N36" s="175">
        <f>+N37+N50+N52</f>
        <v>3696503</v>
      </c>
      <c r="O36" s="73">
        <f>+O37+O50+O52</f>
        <v>2700000</v>
      </c>
      <c r="P36" s="539">
        <f>+P37+P50+P52</f>
        <v>660000</v>
      </c>
      <c r="Q36" s="465">
        <f>SUM(I36:L36,F36)-E36</f>
        <v>0</v>
      </c>
    </row>
    <row r="37" spans="1:16" s="17" customFormat="1" ht="12.75">
      <c r="A37" s="468"/>
      <c r="B37" s="91">
        <v>70005</v>
      </c>
      <c r="C37" s="74" t="s">
        <v>82</v>
      </c>
      <c r="D37" s="230">
        <f t="shared" si="2"/>
        <v>982203</v>
      </c>
      <c r="E37" s="230">
        <f>SUM(E38:E49)</f>
        <v>520000</v>
      </c>
      <c r="F37" s="74">
        <f>+G37+H37</f>
        <v>520000</v>
      </c>
      <c r="G37" s="74">
        <f>SUM(G38:G49)</f>
        <v>20000</v>
      </c>
      <c r="H37" s="74">
        <f>SUM(H38:H49)</f>
        <v>500000</v>
      </c>
      <c r="I37" s="74">
        <f>SUM(I38:I49)</f>
        <v>0</v>
      </c>
      <c r="J37" s="74"/>
      <c r="K37" s="172"/>
      <c r="L37" s="206">
        <f>SUM(L38:L49)</f>
        <v>0</v>
      </c>
      <c r="M37" s="204">
        <f>+M47</f>
        <v>462203</v>
      </c>
      <c r="N37" s="172">
        <f>+N47</f>
        <v>462203</v>
      </c>
      <c r="O37" s="74">
        <f>+O47</f>
        <v>0</v>
      </c>
      <c r="P37" s="538">
        <f>+P47</f>
        <v>0</v>
      </c>
    </row>
    <row r="38" spans="1:16" s="17" customFormat="1" ht="12.75">
      <c r="A38" s="468"/>
      <c r="B38" s="86"/>
      <c r="C38" s="49" t="s">
        <v>259</v>
      </c>
      <c r="D38" s="234">
        <f t="shared" si="2"/>
        <v>20000</v>
      </c>
      <c r="E38" s="228">
        <f aca="true" t="shared" si="6" ref="E38:E46">SUM(F38,I38:L38)</f>
        <v>20000</v>
      </c>
      <c r="F38" s="49">
        <f aca="true" t="shared" si="7" ref="F38:F46">+G38+H38</f>
        <v>20000</v>
      </c>
      <c r="G38" s="49">
        <v>20000</v>
      </c>
      <c r="H38" s="49"/>
      <c r="I38" s="49"/>
      <c r="J38" s="49"/>
      <c r="K38" s="171"/>
      <c r="L38" s="229"/>
      <c r="M38" s="203"/>
      <c r="N38" s="509"/>
      <c r="O38" s="157"/>
      <c r="P38" s="533"/>
    </row>
    <row r="39" spans="1:16" s="17" customFormat="1" ht="12.75">
      <c r="A39" s="468"/>
      <c r="B39" s="470"/>
      <c r="C39" s="92" t="s">
        <v>81</v>
      </c>
      <c r="D39" s="253">
        <f t="shared" si="2"/>
        <v>200000</v>
      </c>
      <c r="E39" s="228">
        <f t="shared" si="6"/>
        <v>200000</v>
      </c>
      <c r="F39" s="49">
        <f t="shared" si="7"/>
        <v>200000</v>
      </c>
      <c r="G39" s="92"/>
      <c r="H39" s="92">
        <v>200000</v>
      </c>
      <c r="I39" s="92"/>
      <c r="J39" s="92"/>
      <c r="K39" s="176"/>
      <c r="L39" s="237"/>
      <c r="M39" s="210"/>
      <c r="N39" s="509"/>
      <c r="O39" s="157"/>
      <c r="P39" s="533"/>
    </row>
    <row r="40" spans="1:16" s="17" customFormat="1" ht="12.75">
      <c r="A40" s="468"/>
      <c r="B40" s="86"/>
      <c r="C40" s="49" t="s">
        <v>352</v>
      </c>
      <c r="D40" s="234">
        <f t="shared" si="2"/>
        <v>85000</v>
      </c>
      <c r="E40" s="228">
        <f t="shared" si="6"/>
        <v>85000</v>
      </c>
      <c r="F40" s="49">
        <f t="shared" si="7"/>
        <v>85000</v>
      </c>
      <c r="G40" s="49"/>
      <c r="H40" s="49">
        <v>85000</v>
      </c>
      <c r="I40" s="49"/>
      <c r="J40" s="49"/>
      <c r="K40" s="171"/>
      <c r="L40" s="229"/>
      <c r="M40" s="203"/>
      <c r="N40" s="509"/>
      <c r="O40" s="157"/>
      <c r="P40" s="533"/>
    </row>
    <row r="41" spans="1:16" s="17" customFormat="1" ht="12.75">
      <c r="A41" s="468"/>
      <c r="B41" s="86"/>
      <c r="C41" s="49" t="s">
        <v>353</v>
      </c>
      <c r="D41" s="234">
        <f t="shared" si="2"/>
        <v>15000</v>
      </c>
      <c r="E41" s="228">
        <f t="shared" si="6"/>
        <v>15000</v>
      </c>
      <c r="F41" s="49">
        <f t="shared" si="7"/>
        <v>15000</v>
      </c>
      <c r="G41" s="49"/>
      <c r="H41" s="49">
        <v>15000</v>
      </c>
      <c r="I41" s="49"/>
      <c r="J41" s="49"/>
      <c r="K41" s="171"/>
      <c r="L41" s="229"/>
      <c r="M41" s="203"/>
      <c r="N41" s="509"/>
      <c r="O41" s="157"/>
      <c r="P41" s="533"/>
    </row>
    <row r="42" spans="1:16" s="17" customFormat="1" ht="12.75">
      <c r="A42" s="468"/>
      <c r="B42" s="86"/>
      <c r="C42" s="49" t="s">
        <v>83</v>
      </c>
      <c r="D42" s="234">
        <f t="shared" si="2"/>
        <v>30000</v>
      </c>
      <c r="E42" s="228">
        <f t="shared" si="6"/>
        <v>30000</v>
      </c>
      <c r="F42" s="49">
        <f t="shared" si="7"/>
        <v>30000</v>
      </c>
      <c r="G42" s="49"/>
      <c r="H42" s="49">
        <v>30000</v>
      </c>
      <c r="I42" s="49"/>
      <c r="J42" s="49"/>
      <c r="K42" s="171"/>
      <c r="L42" s="229"/>
      <c r="M42" s="203"/>
      <c r="N42" s="509"/>
      <c r="O42" s="157"/>
      <c r="P42" s="533"/>
    </row>
    <row r="43" spans="1:16" s="17" customFormat="1" ht="12.75">
      <c r="A43" s="468"/>
      <c r="B43" s="86"/>
      <c r="C43" s="49" t="s">
        <v>84</v>
      </c>
      <c r="D43" s="234">
        <f t="shared" si="2"/>
        <v>20000</v>
      </c>
      <c r="E43" s="228">
        <f t="shared" si="6"/>
        <v>20000</v>
      </c>
      <c r="F43" s="49">
        <f t="shared" si="7"/>
        <v>20000</v>
      </c>
      <c r="G43" s="49"/>
      <c r="H43" s="49">
        <v>20000</v>
      </c>
      <c r="I43" s="49"/>
      <c r="J43" s="49"/>
      <c r="K43" s="171"/>
      <c r="L43" s="229"/>
      <c r="M43" s="203"/>
      <c r="N43" s="509"/>
      <c r="O43" s="157"/>
      <c r="P43" s="533"/>
    </row>
    <row r="44" spans="1:16" s="17" customFormat="1" ht="12.75">
      <c r="A44" s="468"/>
      <c r="B44" s="86"/>
      <c r="C44" s="49" t="s">
        <v>85</v>
      </c>
      <c r="D44" s="234">
        <f t="shared" si="2"/>
        <v>40000</v>
      </c>
      <c r="E44" s="228">
        <f t="shared" si="6"/>
        <v>40000</v>
      </c>
      <c r="F44" s="49">
        <f t="shared" si="7"/>
        <v>40000</v>
      </c>
      <c r="G44" s="49"/>
      <c r="H44" s="49">
        <v>40000</v>
      </c>
      <c r="I44" s="49"/>
      <c r="J44" s="49"/>
      <c r="K44" s="171"/>
      <c r="L44" s="229"/>
      <c r="M44" s="203"/>
      <c r="N44" s="509"/>
      <c r="O44" s="157"/>
      <c r="P44" s="533"/>
    </row>
    <row r="45" spans="1:16" s="17" customFormat="1" ht="12.75">
      <c r="A45" s="468"/>
      <c r="B45" s="86"/>
      <c r="C45" s="93" t="s">
        <v>86</v>
      </c>
      <c r="D45" s="234">
        <f aca="true" t="shared" si="8" ref="D45:D67">+E45+M45</f>
        <v>25000</v>
      </c>
      <c r="E45" s="228">
        <f t="shared" si="6"/>
        <v>25000</v>
      </c>
      <c r="F45" s="49">
        <f t="shared" si="7"/>
        <v>25000</v>
      </c>
      <c r="G45" s="49"/>
      <c r="H45" s="49">
        <v>25000</v>
      </c>
      <c r="I45" s="49"/>
      <c r="J45" s="49"/>
      <c r="K45" s="171"/>
      <c r="L45" s="229"/>
      <c r="M45" s="203"/>
      <c r="N45" s="509"/>
      <c r="O45" s="157"/>
      <c r="P45" s="533"/>
    </row>
    <row r="46" spans="1:16" s="17" customFormat="1" ht="12.75">
      <c r="A46" s="468"/>
      <c r="B46" s="87"/>
      <c r="C46" s="94" t="s">
        <v>87</v>
      </c>
      <c r="D46" s="234">
        <f t="shared" si="8"/>
        <v>85000</v>
      </c>
      <c r="E46" s="228">
        <f t="shared" si="6"/>
        <v>85000</v>
      </c>
      <c r="F46" s="49">
        <f t="shared" si="7"/>
        <v>85000</v>
      </c>
      <c r="G46" s="46"/>
      <c r="H46" s="46">
        <f>250000-165000</f>
        <v>85000</v>
      </c>
      <c r="I46" s="46"/>
      <c r="J46" s="46"/>
      <c r="K46" s="173"/>
      <c r="L46" s="233"/>
      <c r="M46" s="205"/>
      <c r="N46" s="509"/>
      <c r="O46" s="157"/>
      <c r="P46" s="533"/>
    </row>
    <row r="47" spans="1:16" s="17" customFormat="1" ht="12.75">
      <c r="A47" s="468"/>
      <c r="B47" s="87"/>
      <c r="C47" s="96" t="s">
        <v>194</v>
      </c>
      <c r="D47" s="240">
        <f t="shared" si="8"/>
        <v>462203</v>
      </c>
      <c r="E47" s="238"/>
      <c r="F47" s="46"/>
      <c r="G47" s="46"/>
      <c r="H47" s="46"/>
      <c r="I47" s="46"/>
      <c r="J47" s="46"/>
      <c r="K47" s="173"/>
      <c r="L47" s="233"/>
      <c r="M47" s="211">
        <f>SUM(N47:P47)</f>
        <v>462203</v>
      </c>
      <c r="N47" s="512">
        <f>SUM(N48:N49)</f>
        <v>462203</v>
      </c>
      <c r="O47" s="187">
        <f>SUM(O48:O49)</f>
        <v>0</v>
      </c>
      <c r="P47" s="537">
        <f>SUM(P48:P49)</f>
        <v>0</v>
      </c>
    </row>
    <row r="48" spans="1:16" s="17" customFormat="1" ht="12.75">
      <c r="A48" s="468"/>
      <c r="B48" s="87"/>
      <c r="C48" s="98" t="s">
        <v>250</v>
      </c>
      <c r="D48" s="238">
        <f t="shared" si="8"/>
        <v>200000</v>
      </c>
      <c r="E48" s="238"/>
      <c r="F48" s="46"/>
      <c r="G48" s="46"/>
      <c r="H48" s="46"/>
      <c r="I48" s="46"/>
      <c r="J48" s="46"/>
      <c r="K48" s="173"/>
      <c r="L48" s="233"/>
      <c r="M48" s="212">
        <f>SUM(N48:P48)</f>
        <v>200000</v>
      </c>
      <c r="N48" s="178">
        <f>700000-500000</f>
        <v>200000</v>
      </c>
      <c r="O48" s="157"/>
      <c r="P48" s="533"/>
    </row>
    <row r="49" spans="1:16" s="17" customFormat="1" ht="12.75">
      <c r="A49" s="468"/>
      <c r="B49" s="87"/>
      <c r="C49" s="98" t="s">
        <v>212</v>
      </c>
      <c r="D49" s="234">
        <f t="shared" si="8"/>
        <v>262203</v>
      </c>
      <c r="E49" s="239"/>
      <c r="F49" s="48"/>
      <c r="G49" s="48"/>
      <c r="H49" s="48"/>
      <c r="I49" s="48"/>
      <c r="J49" s="48"/>
      <c r="K49" s="178"/>
      <c r="L49" s="213"/>
      <c r="M49" s="212">
        <f>SUM(N49:P49)</f>
        <v>262203</v>
      </c>
      <c r="N49" s="178">
        <v>262203</v>
      </c>
      <c r="O49" s="157"/>
      <c r="P49" s="533"/>
    </row>
    <row r="50" spans="1:16" s="17" customFormat="1" ht="12.75">
      <c r="A50" s="468"/>
      <c r="B50" s="99">
        <v>70021</v>
      </c>
      <c r="C50" s="96" t="s">
        <v>143</v>
      </c>
      <c r="D50" s="240">
        <f t="shared" si="8"/>
        <v>660000</v>
      </c>
      <c r="E50" s="240">
        <f>+E51</f>
        <v>0</v>
      </c>
      <c r="F50" s="97"/>
      <c r="G50" s="97"/>
      <c r="H50" s="97"/>
      <c r="I50" s="97"/>
      <c r="J50" s="97"/>
      <c r="K50" s="177"/>
      <c r="L50" s="220"/>
      <c r="M50" s="211">
        <f>+N50+P50</f>
        <v>660000</v>
      </c>
      <c r="N50" s="514">
        <f>+N51</f>
        <v>0</v>
      </c>
      <c r="O50" s="187">
        <f>+O51</f>
        <v>0</v>
      </c>
      <c r="P50" s="537">
        <f>+P51</f>
        <v>660000</v>
      </c>
    </row>
    <row r="51" spans="1:16" s="17" customFormat="1" ht="12.75">
      <c r="A51" s="468"/>
      <c r="B51" s="87"/>
      <c r="C51" s="94" t="s">
        <v>144</v>
      </c>
      <c r="D51" s="238">
        <f t="shared" si="8"/>
        <v>660000</v>
      </c>
      <c r="E51" s="238"/>
      <c r="F51" s="46"/>
      <c r="G51" s="46"/>
      <c r="H51" s="46"/>
      <c r="I51" s="46"/>
      <c r="J51" s="46"/>
      <c r="K51" s="173"/>
      <c r="L51" s="233"/>
      <c r="M51" s="212">
        <f>SUM(N51:P51)</f>
        <v>660000</v>
      </c>
      <c r="N51" s="531"/>
      <c r="O51" s="557"/>
      <c r="P51" s="540">
        <f>1320000-660000</f>
        <v>660000</v>
      </c>
    </row>
    <row r="52" spans="1:16" s="17" customFormat="1" ht="12.75">
      <c r="A52" s="468"/>
      <c r="B52" s="99">
        <v>70095</v>
      </c>
      <c r="C52" s="96" t="s">
        <v>88</v>
      </c>
      <c r="D52" s="240">
        <f t="shared" si="8"/>
        <v>6019100</v>
      </c>
      <c r="E52" s="240">
        <f>+F52+I52+J52+L52</f>
        <v>2784800</v>
      </c>
      <c r="F52" s="97">
        <f>+G52+H52</f>
        <v>2784800</v>
      </c>
      <c r="G52" s="97"/>
      <c r="H52" s="97">
        <f>SUM(H53:H62)</f>
        <v>2784800</v>
      </c>
      <c r="I52" s="97"/>
      <c r="J52" s="97"/>
      <c r="K52" s="177"/>
      <c r="L52" s="220"/>
      <c r="M52" s="211">
        <f>+N52+P52</f>
        <v>3234300</v>
      </c>
      <c r="N52" s="512">
        <f>+N63</f>
        <v>3234300</v>
      </c>
      <c r="O52" s="512">
        <f>+O63</f>
        <v>2700000</v>
      </c>
      <c r="P52" s="537">
        <f>+P63</f>
        <v>0</v>
      </c>
    </row>
    <row r="53" spans="1:16" s="17" customFormat="1" ht="25.5">
      <c r="A53" s="468"/>
      <c r="B53" s="87"/>
      <c r="C53" s="94" t="s">
        <v>232</v>
      </c>
      <c r="D53" s="234">
        <f t="shared" si="8"/>
        <v>85000</v>
      </c>
      <c r="E53" s="228">
        <f aca="true" t="shared" si="9" ref="E53:E62">SUM(F53,I53:L53)</f>
        <v>85000</v>
      </c>
      <c r="F53" s="46">
        <f>+G53+H53</f>
        <v>85000</v>
      </c>
      <c r="G53" s="46"/>
      <c r="H53" s="46">
        <v>85000</v>
      </c>
      <c r="I53" s="46"/>
      <c r="J53" s="46"/>
      <c r="K53" s="173"/>
      <c r="L53" s="233"/>
      <c r="M53" s="205"/>
      <c r="N53" s="509"/>
      <c r="O53" s="157"/>
      <c r="P53" s="533"/>
    </row>
    <row r="54" spans="1:16" s="17" customFormat="1" ht="12.75">
      <c r="A54" s="468"/>
      <c r="B54" s="87"/>
      <c r="C54" s="94" t="s">
        <v>272</v>
      </c>
      <c r="D54" s="239">
        <f t="shared" si="8"/>
        <v>100000</v>
      </c>
      <c r="E54" s="228">
        <f t="shared" si="9"/>
        <v>100000</v>
      </c>
      <c r="F54" s="46">
        <f aca="true" t="shared" si="10" ref="F54:F62">+G54+H54</f>
        <v>100000</v>
      </c>
      <c r="G54" s="95"/>
      <c r="H54" s="95">
        <f>377500-277500</f>
        <v>100000</v>
      </c>
      <c r="I54" s="46"/>
      <c r="J54" s="46"/>
      <c r="K54" s="173"/>
      <c r="L54" s="233"/>
      <c r="M54" s="205"/>
      <c r="N54" s="509"/>
      <c r="O54" s="157"/>
      <c r="P54" s="533"/>
    </row>
    <row r="55" spans="1:16" s="17" customFormat="1" ht="12.75">
      <c r="A55" s="468"/>
      <c r="B55" s="86"/>
      <c r="C55" s="93" t="s">
        <v>383</v>
      </c>
      <c r="D55" s="234">
        <f t="shared" si="8"/>
        <v>1979500</v>
      </c>
      <c r="E55" s="228">
        <f t="shared" si="9"/>
        <v>1979500</v>
      </c>
      <c r="F55" s="46">
        <f t="shared" si="10"/>
        <v>1979500</v>
      </c>
      <c r="G55" s="49"/>
      <c r="H55" s="49">
        <f>1850000*1.07</f>
        <v>1979500</v>
      </c>
      <c r="I55" s="49"/>
      <c r="J55" s="49"/>
      <c r="K55" s="171"/>
      <c r="L55" s="229"/>
      <c r="M55" s="203"/>
      <c r="N55" s="509"/>
      <c r="O55" s="157"/>
      <c r="P55" s="533"/>
    </row>
    <row r="56" spans="1:16" s="17" customFormat="1" ht="12.75">
      <c r="A56" s="468"/>
      <c r="B56" s="87"/>
      <c r="C56" s="93" t="s">
        <v>384</v>
      </c>
      <c r="D56" s="234">
        <f>+E56+M56</f>
        <v>30000</v>
      </c>
      <c r="E56" s="228">
        <f>SUM(F56,I56:L56)</f>
        <v>30000</v>
      </c>
      <c r="F56" s="46">
        <f>+G56+H56</f>
        <v>30000</v>
      </c>
      <c r="G56" s="46"/>
      <c r="H56" s="46">
        <v>30000</v>
      </c>
      <c r="I56" s="46"/>
      <c r="J56" s="46"/>
      <c r="K56" s="173"/>
      <c r="L56" s="233"/>
      <c r="M56" s="205"/>
      <c r="N56" s="509"/>
      <c r="O56" s="157"/>
      <c r="P56" s="533"/>
    </row>
    <row r="57" spans="1:16" s="17" customFormat="1" ht="12.75">
      <c r="A57" s="468"/>
      <c r="B57" s="87"/>
      <c r="C57" s="94" t="s">
        <v>227</v>
      </c>
      <c r="D57" s="234">
        <f t="shared" si="8"/>
        <v>300000</v>
      </c>
      <c r="E57" s="228">
        <f t="shared" si="9"/>
        <v>300000</v>
      </c>
      <c r="F57" s="46">
        <f t="shared" si="10"/>
        <v>300000</v>
      </c>
      <c r="G57" s="95"/>
      <c r="H57" s="95">
        <f>500000-200000</f>
        <v>300000</v>
      </c>
      <c r="I57" s="46"/>
      <c r="J57" s="46"/>
      <c r="K57" s="173"/>
      <c r="L57" s="233"/>
      <c r="M57" s="205"/>
      <c r="N57" s="509"/>
      <c r="O57" s="157"/>
      <c r="P57" s="533"/>
    </row>
    <row r="58" spans="1:16" s="17" customFormat="1" ht="12.75">
      <c r="A58" s="468"/>
      <c r="B58" s="99"/>
      <c r="C58" s="94" t="s">
        <v>382</v>
      </c>
      <c r="D58" s="238">
        <f>+E58</f>
        <v>30000</v>
      </c>
      <c r="E58" s="228">
        <f t="shared" si="9"/>
        <v>30000</v>
      </c>
      <c r="F58" s="46">
        <f t="shared" si="10"/>
        <v>30000</v>
      </c>
      <c r="G58" s="46"/>
      <c r="H58" s="46">
        <f>60000-30000</f>
        <v>30000</v>
      </c>
      <c r="I58" s="46"/>
      <c r="J58" s="46"/>
      <c r="K58" s="173"/>
      <c r="L58" s="233"/>
      <c r="M58" s="205"/>
      <c r="N58" s="509"/>
      <c r="O58" s="157"/>
      <c r="P58" s="533"/>
    </row>
    <row r="59" spans="1:16" s="17" customFormat="1" ht="12.75">
      <c r="A59" s="468"/>
      <c r="B59" s="99"/>
      <c r="C59" s="94" t="s">
        <v>290</v>
      </c>
      <c r="D59" s="238">
        <f>+E59</f>
        <v>15300</v>
      </c>
      <c r="E59" s="228">
        <f t="shared" si="9"/>
        <v>15300</v>
      </c>
      <c r="F59" s="46">
        <f t="shared" si="10"/>
        <v>15300</v>
      </c>
      <c r="G59" s="46"/>
      <c r="H59" s="46">
        <v>15300</v>
      </c>
      <c r="I59" s="46"/>
      <c r="J59" s="46"/>
      <c r="K59" s="173"/>
      <c r="L59" s="233"/>
      <c r="M59" s="205"/>
      <c r="N59" s="509"/>
      <c r="O59" s="157"/>
      <c r="P59" s="533"/>
    </row>
    <row r="60" spans="1:16" s="17" customFormat="1" ht="12.75">
      <c r="A60" s="468"/>
      <c r="B60" s="87"/>
      <c r="C60" s="94" t="s">
        <v>89</v>
      </c>
      <c r="D60" s="234">
        <f t="shared" si="8"/>
        <v>45000</v>
      </c>
      <c r="E60" s="228">
        <f t="shared" si="9"/>
        <v>45000</v>
      </c>
      <c r="F60" s="46">
        <f t="shared" si="10"/>
        <v>45000</v>
      </c>
      <c r="G60" s="46"/>
      <c r="H60" s="46">
        <v>45000</v>
      </c>
      <c r="I60" s="46"/>
      <c r="J60" s="46"/>
      <c r="K60" s="173"/>
      <c r="L60" s="233"/>
      <c r="M60" s="205"/>
      <c r="N60" s="509"/>
      <c r="O60" s="157"/>
      <c r="P60" s="533"/>
    </row>
    <row r="61" spans="1:16" s="17" customFormat="1" ht="12.75">
      <c r="A61" s="468"/>
      <c r="B61" s="87"/>
      <c r="C61" s="94" t="s">
        <v>93</v>
      </c>
      <c r="D61" s="234">
        <f t="shared" si="8"/>
        <v>50000</v>
      </c>
      <c r="E61" s="228">
        <f t="shared" si="9"/>
        <v>50000</v>
      </c>
      <c r="F61" s="46">
        <f t="shared" si="10"/>
        <v>50000</v>
      </c>
      <c r="G61" s="46"/>
      <c r="H61" s="46">
        <f>100000-50000</f>
        <v>50000</v>
      </c>
      <c r="I61" s="46"/>
      <c r="J61" s="46"/>
      <c r="K61" s="173"/>
      <c r="L61" s="233"/>
      <c r="M61" s="205"/>
      <c r="N61" s="509"/>
      <c r="O61" s="157"/>
      <c r="P61" s="533"/>
    </row>
    <row r="62" spans="1:16" s="17" customFormat="1" ht="12.75">
      <c r="A62" s="468"/>
      <c r="B62" s="87"/>
      <c r="C62" s="46" t="s">
        <v>90</v>
      </c>
      <c r="D62" s="234">
        <f t="shared" si="8"/>
        <v>150000</v>
      </c>
      <c r="E62" s="228">
        <f t="shared" si="9"/>
        <v>150000</v>
      </c>
      <c r="F62" s="46">
        <f t="shared" si="10"/>
        <v>150000</v>
      </c>
      <c r="G62" s="46"/>
      <c r="H62" s="46">
        <v>150000</v>
      </c>
      <c r="I62" s="46"/>
      <c r="J62" s="46"/>
      <c r="K62" s="173"/>
      <c r="L62" s="233"/>
      <c r="M62" s="205"/>
      <c r="N62" s="509"/>
      <c r="O62" s="157"/>
      <c r="P62" s="533"/>
    </row>
    <row r="63" spans="1:16" s="17" customFormat="1" ht="12.75">
      <c r="A63" s="468"/>
      <c r="B63" s="87"/>
      <c r="C63" s="97" t="s">
        <v>91</v>
      </c>
      <c r="D63" s="240">
        <f>+M63</f>
        <v>3234300</v>
      </c>
      <c r="E63" s="238"/>
      <c r="F63" s="46"/>
      <c r="G63" s="46"/>
      <c r="H63" s="46"/>
      <c r="I63" s="46"/>
      <c r="J63" s="46"/>
      <c r="K63" s="173"/>
      <c r="L63" s="233"/>
      <c r="M63" s="211">
        <f aca="true" t="shared" si="11" ref="M63:M69">+N63+P63</f>
        <v>3234300</v>
      </c>
      <c r="N63" s="512">
        <f>SUM(N64:N68)</f>
        <v>3234300</v>
      </c>
      <c r="O63" s="187">
        <f>SUM(O64:O68)</f>
        <v>2700000</v>
      </c>
      <c r="P63" s="537">
        <f>SUM(P64:P68)</f>
        <v>0</v>
      </c>
    </row>
    <row r="64" spans="1:16" s="17" customFormat="1" ht="12.75">
      <c r="A64" s="468"/>
      <c r="B64" s="87"/>
      <c r="C64" s="98" t="s">
        <v>315</v>
      </c>
      <c r="D64" s="234">
        <f t="shared" si="8"/>
        <v>34300</v>
      </c>
      <c r="E64" s="239"/>
      <c r="F64" s="48"/>
      <c r="G64" s="48"/>
      <c r="H64" s="48"/>
      <c r="I64" s="48"/>
      <c r="J64" s="48"/>
      <c r="K64" s="178"/>
      <c r="L64" s="213"/>
      <c r="M64" s="212">
        <f t="shared" si="11"/>
        <v>34300</v>
      </c>
      <c r="N64" s="178">
        <v>34300</v>
      </c>
      <c r="O64" s="48"/>
      <c r="P64" s="541"/>
    </row>
    <row r="65" spans="1:16" s="17" customFormat="1" ht="25.5">
      <c r="A65" s="468"/>
      <c r="B65" s="87"/>
      <c r="C65" s="48" t="s">
        <v>273</v>
      </c>
      <c r="D65" s="234">
        <f t="shared" si="8"/>
        <v>900000</v>
      </c>
      <c r="E65" s="238"/>
      <c r="F65" s="46"/>
      <c r="G65" s="46"/>
      <c r="H65" s="46"/>
      <c r="I65" s="46"/>
      <c r="J65" s="46"/>
      <c r="K65" s="173"/>
      <c r="L65" s="233"/>
      <c r="M65" s="205">
        <f t="shared" si="11"/>
        <v>900000</v>
      </c>
      <c r="N65" s="173">
        <v>900000</v>
      </c>
      <c r="O65" s="46">
        <f>+N65</f>
        <v>900000</v>
      </c>
      <c r="P65" s="533"/>
    </row>
    <row r="66" spans="1:16" s="17" customFormat="1" ht="38.25">
      <c r="A66" s="468"/>
      <c r="B66" s="87"/>
      <c r="C66" s="48" t="s">
        <v>348</v>
      </c>
      <c r="D66" s="234">
        <f t="shared" si="8"/>
        <v>1350000</v>
      </c>
      <c r="E66" s="238"/>
      <c r="F66" s="46"/>
      <c r="G66" s="46"/>
      <c r="H66" s="46"/>
      <c r="I66" s="46"/>
      <c r="J66" s="46"/>
      <c r="K66" s="173"/>
      <c r="L66" s="233"/>
      <c r="M66" s="205">
        <f t="shared" si="11"/>
        <v>1350000</v>
      </c>
      <c r="N66" s="173">
        <v>1350000</v>
      </c>
      <c r="O66" s="46">
        <f>+N66</f>
        <v>1350000</v>
      </c>
      <c r="P66" s="533"/>
    </row>
    <row r="67" spans="1:16" s="17" customFormat="1" ht="38.25">
      <c r="A67" s="468"/>
      <c r="B67" s="87"/>
      <c r="C67" s="48" t="s">
        <v>356</v>
      </c>
      <c r="D67" s="234">
        <f t="shared" si="8"/>
        <v>450000</v>
      </c>
      <c r="E67" s="238"/>
      <c r="F67" s="46"/>
      <c r="G67" s="46"/>
      <c r="H67" s="46"/>
      <c r="I67" s="46"/>
      <c r="J67" s="46"/>
      <c r="K67" s="173"/>
      <c r="L67" s="233"/>
      <c r="M67" s="205">
        <f t="shared" si="11"/>
        <v>450000</v>
      </c>
      <c r="N67" s="173">
        <v>450000</v>
      </c>
      <c r="O67" s="46">
        <f>+N67</f>
        <v>450000</v>
      </c>
      <c r="P67" s="533"/>
    </row>
    <row r="68" spans="1:16" s="17" customFormat="1" ht="12.75">
      <c r="A68" s="469"/>
      <c r="B68" s="471"/>
      <c r="C68" s="48" t="s">
        <v>92</v>
      </c>
      <c r="D68" s="239">
        <f aca="true" t="shared" si="12" ref="D68:D92">+E68+M68</f>
        <v>500000</v>
      </c>
      <c r="E68" s="239"/>
      <c r="F68" s="48"/>
      <c r="G68" s="48"/>
      <c r="H68" s="48"/>
      <c r="I68" s="48"/>
      <c r="J68" s="48"/>
      <c r="K68" s="178"/>
      <c r="L68" s="213"/>
      <c r="M68" s="212">
        <f t="shared" si="11"/>
        <v>500000</v>
      </c>
      <c r="N68" s="178">
        <v>500000</v>
      </c>
      <c r="O68" s="48"/>
      <c r="P68" s="542"/>
    </row>
    <row r="69" spans="1:17" s="17" customFormat="1" ht="15">
      <c r="A69" s="89">
        <v>750</v>
      </c>
      <c r="B69" s="90"/>
      <c r="C69" s="73" t="s">
        <v>94</v>
      </c>
      <c r="D69" s="236">
        <f t="shared" si="12"/>
        <v>6990000</v>
      </c>
      <c r="E69" s="236">
        <f>+E70+E73+E78</f>
        <v>6720000</v>
      </c>
      <c r="F69" s="73">
        <f>+G69+H69</f>
        <v>6394000</v>
      </c>
      <c r="G69" s="73">
        <f>+G70+G73+G78</f>
        <v>4327500</v>
      </c>
      <c r="H69" s="73">
        <f>+H70+H73+H78</f>
        <v>2066500</v>
      </c>
      <c r="I69" s="73">
        <f>+I70+I73+I78</f>
        <v>0</v>
      </c>
      <c r="J69" s="73">
        <f>+J70+J73+J78</f>
        <v>326000</v>
      </c>
      <c r="K69" s="175"/>
      <c r="L69" s="232">
        <f>+L70+L73+L78</f>
        <v>0</v>
      </c>
      <c r="M69" s="201">
        <f t="shared" si="11"/>
        <v>270000</v>
      </c>
      <c r="N69" s="515">
        <f>+N70+N73+N78</f>
        <v>270000</v>
      </c>
      <c r="O69" s="284">
        <f>+O70+O73+O78</f>
        <v>0</v>
      </c>
      <c r="P69" s="543">
        <f>+P70+P73+P78</f>
        <v>0</v>
      </c>
      <c r="Q69" s="465">
        <f>SUM(I69:L69,F69)-E69</f>
        <v>0</v>
      </c>
    </row>
    <row r="70" spans="1:16" s="17" customFormat="1" ht="12.75">
      <c r="A70" s="101"/>
      <c r="B70" s="91">
        <v>75022</v>
      </c>
      <c r="C70" s="74" t="s">
        <v>252</v>
      </c>
      <c r="D70" s="230">
        <f t="shared" si="12"/>
        <v>336000</v>
      </c>
      <c r="E70" s="230">
        <f>+F70+I70+J70+L70</f>
        <v>336000</v>
      </c>
      <c r="F70" s="74">
        <f aca="true" t="shared" si="13" ref="F70:F131">+G70+H70</f>
        <v>16000</v>
      </c>
      <c r="G70" s="74">
        <f>+G71+G72</f>
        <v>2500</v>
      </c>
      <c r="H70" s="74">
        <f>+H71+H72</f>
        <v>13500</v>
      </c>
      <c r="I70" s="74"/>
      <c r="J70" s="74">
        <f>+J71</f>
        <v>320000</v>
      </c>
      <c r="K70" s="172"/>
      <c r="L70" s="206"/>
      <c r="M70" s="204"/>
      <c r="N70" s="513"/>
      <c r="O70" s="184"/>
      <c r="P70" s="533"/>
    </row>
    <row r="71" spans="1:16" s="17" customFormat="1" ht="12.75">
      <c r="A71" s="150"/>
      <c r="B71" s="86" t="s">
        <v>14</v>
      </c>
      <c r="C71" s="49" t="s">
        <v>95</v>
      </c>
      <c r="D71" s="228">
        <f t="shared" si="12"/>
        <v>320000</v>
      </c>
      <c r="E71" s="228">
        <f>SUM(F71,I71:L71)</f>
        <v>320000</v>
      </c>
      <c r="F71" s="49">
        <f t="shared" si="13"/>
        <v>0</v>
      </c>
      <c r="G71" s="49"/>
      <c r="H71" s="49"/>
      <c r="I71" s="49"/>
      <c r="J71" s="49">
        <v>320000</v>
      </c>
      <c r="K71" s="171"/>
      <c r="L71" s="229"/>
      <c r="M71" s="203"/>
      <c r="N71" s="513"/>
      <c r="O71" s="184"/>
      <c r="P71" s="533"/>
    </row>
    <row r="72" spans="1:16" s="17" customFormat="1" ht="12.75">
      <c r="A72" s="150"/>
      <c r="B72" s="86"/>
      <c r="C72" s="49" t="s">
        <v>96</v>
      </c>
      <c r="D72" s="228">
        <f t="shared" si="12"/>
        <v>16000</v>
      </c>
      <c r="E72" s="228">
        <f>SUM(F72,I72:L72)</f>
        <v>16000</v>
      </c>
      <c r="F72" s="49">
        <f t="shared" si="13"/>
        <v>16000</v>
      </c>
      <c r="G72" s="49">
        <v>2500</v>
      </c>
      <c r="H72" s="49">
        <v>13500</v>
      </c>
      <c r="I72" s="49"/>
      <c r="J72" s="49"/>
      <c r="K72" s="171"/>
      <c r="L72" s="229"/>
      <c r="M72" s="203"/>
      <c r="N72" s="513"/>
      <c r="O72" s="184"/>
      <c r="P72" s="533"/>
    </row>
    <row r="73" spans="1:16" s="17" customFormat="1" ht="12.75">
      <c r="A73" s="150"/>
      <c r="B73" s="99">
        <v>75023</v>
      </c>
      <c r="C73" s="97" t="s">
        <v>97</v>
      </c>
      <c r="D73" s="240">
        <f t="shared" si="12"/>
        <v>6274000</v>
      </c>
      <c r="E73" s="240">
        <f>+F73+I73+J73+L73</f>
        <v>6004000</v>
      </c>
      <c r="F73" s="97">
        <f t="shared" si="13"/>
        <v>5998000</v>
      </c>
      <c r="G73" s="97">
        <f>+G74</f>
        <v>4300000</v>
      </c>
      <c r="H73" s="97">
        <f>+H74</f>
        <v>1698000</v>
      </c>
      <c r="I73" s="97"/>
      <c r="J73" s="97">
        <f>+J74</f>
        <v>6000</v>
      </c>
      <c r="K73" s="177"/>
      <c r="L73" s="220"/>
      <c r="M73" s="211">
        <f>+N73+P73</f>
        <v>270000</v>
      </c>
      <c r="N73" s="512">
        <f>+N75</f>
        <v>270000</v>
      </c>
      <c r="O73" s="187">
        <f>+O75</f>
        <v>0</v>
      </c>
      <c r="P73" s="537">
        <f>+P75</f>
        <v>0</v>
      </c>
    </row>
    <row r="74" spans="1:16" s="17" customFormat="1" ht="12.75">
      <c r="A74" s="150"/>
      <c r="B74" s="87"/>
      <c r="C74" s="46" t="s">
        <v>98</v>
      </c>
      <c r="D74" s="238">
        <f>+E74</f>
        <v>6004000</v>
      </c>
      <c r="E74" s="228">
        <f>SUM(F74,I74:L74)</f>
        <v>6004000</v>
      </c>
      <c r="F74" s="46">
        <f t="shared" si="13"/>
        <v>5998000</v>
      </c>
      <c r="G74" s="46">
        <v>4300000</v>
      </c>
      <c r="H74" s="46">
        <f>1550000+148000</f>
        <v>1698000</v>
      </c>
      <c r="I74" s="46"/>
      <c r="J74" s="46">
        <v>6000</v>
      </c>
      <c r="K74" s="173"/>
      <c r="L74" s="233"/>
      <c r="M74" s="205"/>
      <c r="N74" s="513"/>
      <c r="O74" s="184"/>
      <c r="P74" s="533"/>
    </row>
    <row r="75" spans="1:16" s="17" customFormat="1" ht="12.75">
      <c r="A75" s="150"/>
      <c r="B75" s="87"/>
      <c r="C75" s="97" t="s">
        <v>194</v>
      </c>
      <c r="D75" s="240">
        <f t="shared" si="12"/>
        <v>270000</v>
      </c>
      <c r="E75" s="238"/>
      <c r="F75" s="46"/>
      <c r="G75" s="46"/>
      <c r="H75" s="46"/>
      <c r="I75" s="46"/>
      <c r="J75" s="46"/>
      <c r="K75" s="173"/>
      <c r="L75" s="233"/>
      <c r="M75" s="211">
        <f>SUM(N75:P75)</f>
        <v>270000</v>
      </c>
      <c r="N75" s="512">
        <f>SUM(N76:N77)</f>
        <v>270000</v>
      </c>
      <c r="O75" s="186">
        <f>SUM(O77:O77)</f>
        <v>0</v>
      </c>
      <c r="P75" s="536">
        <f>SUM(P77:P77)</f>
        <v>0</v>
      </c>
    </row>
    <row r="76" spans="1:16" s="17" customFormat="1" ht="12.75">
      <c r="A76" s="150"/>
      <c r="B76" s="87"/>
      <c r="C76" s="88" t="s">
        <v>99</v>
      </c>
      <c r="D76" s="228">
        <f>+E76+M76</f>
        <v>100000</v>
      </c>
      <c r="E76" s="234"/>
      <c r="F76" s="88"/>
      <c r="G76" s="88" t="s">
        <v>14</v>
      </c>
      <c r="H76" s="88" t="s">
        <v>14</v>
      </c>
      <c r="I76" s="88"/>
      <c r="J76" s="88"/>
      <c r="K76" s="174"/>
      <c r="L76" s="235"/>
      <c r="M76" s="207">
        <f>+N76+P76</f>
        <v>100000</v>
      </c>
      <c r="N76" s="513">
        <v>100000</v>
      </c>
      <c r="O76" s="184"/>
      <c r="P76" s="533"/>
    </row>
    <row r="77" spans="1:16" s="17" customFormat="1" ht="12.75">
      <c r="A77" s="150"/>
      <c r="B77" s="86"/>
      <c r="C77" s="88" t="s">
        <v>1056</v>
      </c>
      <c r="D77" s="228">
        <f t="shared" si="12"/>
        <v>170000</v>
      </c>
      <c r="E77" s="234"/>
      <c r="F77" s="88"/>
      <c r="G77" s="88" t="s">
        <v>14</v>
      </c>
      <c r="H77" s="88" t="s">
        <v>14</v>
      </c>
      <c r="I77" s="88"/>
      <c r="J77" s="88"/>
      <c r="K77" s="174"/>
      <c r="L77" s="235"/>
      <c r="M77" s="207">
        <f>+N77+P77</f>
        <v>170000</v>
      </c>
      <c r="N77" s="513">
        <v>170000</v>
      </c>
      <c r="O77" s="184"/>
      <c r="P77" s="533"/>
    </row>
    <row r="78" spans="1:16" s="17" customFormat="1" ht="12.75">
      <c r="A78" s="150"/>
      <c r="B78" s="99">
        <v>75075</v>
      </c>
      <c r="C78" s="97" t="s">
        <v>100</v>
      </c>
      <c r="D78" s="240">
        <f t="shared" si="12"/>
        <v>380000</v>
      </c>
      <c r="E78" s="240">
        <f>+E79</f>
        <v>380000</v>
      </c>
      <c r="F78" s="97">
        <f t="shared" si="13"/>
        <v>380000</v>
      </c>
      <c r="G78" s="97">
        <f>+G79</f>
        <v>25000</v>
      </c>
      <c r="H78" s="97">
        <f>+H79</f>
        <v>355000</v>
      </c>
      <c r="I78" s="97">
        <f>+I79</f>
        <v>0</v>
      </c>
      <c r="J78" s="97"/>
      <c r="K78" s="177"/>
      <c r="L78" s="220">
        <f>+L79</f>
        <v>0</v>
      </c>
      <c r="M78" s="211"/>
      <c r="N78" s="516">
        <f>+N79</f>
        <v>0</v>
      </c>
      <c r="O78" s="464"/>
      <c r="P78" s="533"/>
    </row>
    <row r="79" spans="1:16" s="17" customFormat="1" ht="12.75">
      <c r="A79" s="282"/>
      <c r="B79" s="87"/>
      <c r="C79" s="46" t="s">
        <v>101</v>
      </c>
      <c r="D79" s="238">
        <f t="shared" si="12"/>
        <v>380000</v>
      </c>
      <c r="E79" s="228">
        <f>SUM(F79,I79:L79)</f>
        <v>380000</v>
      </c>
      <c r="F79" s="46">
        <f t="shared" si="13"/>
        <v>380000</v>
      </c>
      <c r="G79" s="46">
        <v>25000</v>
      </c>
      <c r="H79" s="46">
        <f>325000+30000</f>
        <v>355000</v>
      </c>
      <c r="I79" s="46"/>
      <c r="J79" s="46"/>
      <c r="K79" s="173"/>
      <c r="L79" s="233"/>
      <c r="M79" s="205"/>
      <c r="N79" s="517"/>
      <c r="O79" s="463"/>
      <c r="P79" s="542"/>
    </row>
    <row r="80" spans="1:17" s="17" customFormat="1" ht="30">
      <c r="A80" s="89">
        <v>754</v>
      </c>
      <c r="B80" s="100"/>
      <c r="C80" s="85" t="s">
        <v>133</v>
      </c>
      <c r="D80" s="441">
        <f>+D81+D83+D90</f>
        <v>1025734</v>
      </c>
      <c r="E80" s="231">
        <f>+E81+E83+E90</f>
        <v>325734</v>
      </c>
      <c r="F80" s="85">
        <f t="shared" si="13"/>
        <v>286144</v>
      </c>
      <c r="G80" s="85">
        <f>+G81+G83+G90</f>
        <v>38500</v>
      </c>
      <c r="H80" s="85">
        <f>+H81+H83+H90</f>
        <v>247644</v>
      </c>
      <c r="I80" s="85">
        <f>+I81+I83+I90</f>
        <v>0</v>
      </c>
      <c r="J80" s="85">
        <f>+J81+J83+J90</f>
        <v>39590</v>
      </c>
      <c r="K80" s="457"/>
      <c r="L80" s="232">
        <f>+L81+L83+L90</f>
        <v>0</v>
      </c>
      <c r="M80" s="215">
        <f>+N80+P80</f>
        <v>700000</v>
      </c>
      <c r="N80" s="518">
        <f>+N83+N90</f>
        <v>700000</v>
      </c>
      <c r="O80" s="494">
        <f>+O83+O85+O90</f>
        <v>570000</v>
      </c>
      <c r="P80" s="544">
        <f>+P83+P85+P90</f>
        <v>0</v>
      </c>
      <c r="Q80" s="465">
        <f>SUM(I80:L80,F80)-E80</f>
        <v>0</v>
      </c>
    </row>
    <row r="81" spans="1:16" s="17" customFormat="1" ht="12.75">
      <c r="A81" s="101"/>
      <c r="B81" s="102">
        <v>75404</v>
      </c>
      <c r="C81" s="45" t="s">
        <v>134</v>
      </c>
      <c r="D81" s="242">
        <f t="shared" si="12"/>
        <v>50000</v>
      </c>
      <c r="E81" s="242">
        <f>+E82</f>
        <v>50000</v>
      </c>
      <c r="F81" s="45">
        <f t="shared" si="13"/>
        <v>50000</v>
      </c>
      <c r="G81" s="45"/>
      <c r="H81" s="45">
        <f>+H82</f>
        <v>50000</v>
      </c>
      <c r="I81" s="45">
        <f>+I82</f>
        <v>0</v>
      </c>
      <c r="J81" s="45"/>
      <c r="K81" s="460"/>
      <c r="L81" s="243"/>
      <c r="M81" s="216"/>
      <c r="N81" s="509"/>
      <c r="O81" s="157"/>
      <c r="P81" s="533"/>
    </row>
    <row r="82" spans="1:16" s="17" customFormat="1" ht="12.75">
      <c r="A82" s="150"/>
      <c r="B82" s="87"/>
      <c r="C82" s="46" t="s">
        <v>135</v>
      </c>
      <c r="D82" s="238">
        <f t="shared" si="12"/>
        <v>50000</v>
      </c>
      <c r="E82" s="228">
        <f>SUM(F82,I82:L82)</f>
        <v>50000</v>
      </c>
      <c r="F82" s="46">
        <f t="shared" si="13"/>
        <v>50000</v>
      </c>
      <c r="G82" s="46"/>
      <c r="H82" s="46">
        <v>50000</v>
      </c>
      <c r="I82" s="46">
        <v>0</v>
      </c>
      <c r="J82" s="46"/>
      <c r="K82" s="173"/>
      <c r="L82" s="233"/>
      <c r="M82" s="205"/>
      <c r="N82" s="509"/>
      <c r="O82" s="157"/>
      <c r="P82" s="533"/>
    </row>
    <row r="83" spans="1:16" s="17" customFormat="1" ht="12.75">
      <c r="A83" s="101"/>
      <c r="B83" s="99">
        <v>75412</v>
      </c>
      <c r="C83" s="97" t="s">
        <v>136</v>
      </c>
      <c r="D83" s="240">
        <f t="shared" si="12"/>
        <v>966390</v>
      </c>
      <c r="E83" s="240">
        <f>+E84</f>
        <v>266390</v>
      </c>
      <c r="F83" s="97">
        <f t="shared" si="13"/>
        <v>227700</v>
      </c>
      <c r="G83" s="97">
        <f>+G84</f>
        <v>38500</v>
      </c>
      <c r="H83" s="97">
        <f>+H84</f>
        <v>189200</v>
      </c>
      <c r="I83" s="97">
        <f>+I84</f>
        <v>0</v>
      </c>
      <c r="J83" s="97">
        <f>+J84</f>
        <v>38690</v>
      </c>
      <c r="K83" s="177"/>
      <c r="L83" s="220">
        <f>+L84</f>
        <v>0</v>
      </c>
      <c r="M83" s="211">
        <f>SUM(M84:M85)</f>
        <v>700000</v>
      </c>
      <c r="N83" s="512">
        <f>+N85</f>
        <v>700000</v>
      </c>
      <c r="O83" s="187"/>
      <c r="P83" s="537">
        <f>+P85</f>
        <v>0</v>
      </c>
    </row>
    <row r="84" spans="1:16" s="17" customFormat="1" ht="12.75">
      <c r="A84" s="150"/>
      <c r="B84" s="87"/>
      <c r="C84" s="46" t="s">
        <v>216</v>
      </c>
      <c r="D84" s="238">
        <f t="shared" si="12"/>
        <v>266390</v>
      </c>
      <c r="E84" s="228">
        <f>SUM(F84,I84:L84)</f>
        <v>266390</v>
      </c>
      <c r="F84" s="46">
        <f t="shared" si="13"/>
        <v>227700</v>
      </c>
      <c r="G84" s="46">
        <v>38500</v>
      </c>
      <c r="H84" s="46">
        <v>189200</v>
      </c>
      <c r="I84" s="46"/>
      <c r="J84" s="46">
        <f>39000-310</f>
        <v>38690</v>
      </c>
      <c r="K84" s="173"/>
      <c r="L84" s="233"/>
      <c r="M84" s="205">
        <v>0</v>
      </c>
      <c r="N84" s="509"/>
      <c r="O84" s="157"/>
      <c r="P84" s="533"/>
    </row>
    <row r="85" spans="1:16" s="17" customFormat="1" ht="12.75">
      <c r="A85" s="150"/>
      <c r="B85" s="87"/>
      <c r="C85" s="103" t="s">
        <v>194</v>
      </c>
      <c r="D85" s="240">
        <f t="shared" si="12"/>
        <v>700000</v>
      </c>
      <c r="E85" s="238"/>
      <c r="F85" s="46">
        <f t="shared" si="13"/>
        <v>0</v>
      </c>
      <c r="G85" s="46"/>
      <c r="H85" s="46"/>
      <c r="I85" s="46"/>
      <c r="J85" s="46"/>
      <c r="K85" s="173"/>
      <c r="L85" s="233"/>
      <c r="M85" s="211">
        <f aca="true" t="shared" si="14" ref="M85:M90">+N85+P85</f>
        <v>700000</v>
      </c>
      <c r="N85" s="512">
        <f>SUM(N86:N89)</f>
        <v>700000</v>
      </c>
      <c r="O85" s="187">
        <f>SUM(O86:O89)</f>
        <v>570000</v>
      </c>
      <c r="P85" s="537">
        <f>SUM(P86:P89)</f>
        <v>0</v>
      </c>
    </row>
    <row r="86" spans="1:16" s="17" customFormat="1" ht="12.75">
      <c r="A86" s="150"/>
      <c r="B86" s="87"/>
      <c r="C86" s="46" t="s">
        <v>268</v>
      </c>
      <c r="D86" s="238">
        <f>+E86+M86</f>
        <v>20000</v>
      </c>
      <c r="E86" s="238"/>
      <c r="F86" s="46">
        <f t="shared" si="13"/>
        <v>0</v>
      </c>
      <c r="G86" s="46"/>
      <c r="H86" s="46"/>
      <c r="I86" s="46"/>
      <c r="J86" s="46"/>
      <c r="K86" s="173"/>
      <c r="L86" s="233"/>
      <c r="M86" s="205">
        <f t="shared" si="14"/>
        <v>20000</v>
      </c>
      <c r="N86" s="173">
        <v>20000</v>
      </c>
      <c r="O86" s="46"/>
      <c r="P86" s="533"/>
    </row>
    <row r="87" spans="1:16" s="17" customFormat="1" ht="12.75">
      <c r="A87" s="150"/>
      <c r="B87" s="87"/>
      <c r="C87" s="46" t="s">
        <v>386</v>
      </c>
      <c r="D87" s="238">
        <f>+E87+M87</f>
        <v>10000</v>
      </c>
      <c r="E87" s="238"/>
      <c r="F87" s="46"/>
      <c r="G87" s="46"/>
      <c r="H87" s="46"/>
      <c r="I87" s="46"/>
      <c r="J87" s="46"/>
      <c r="K87" s="173"/>
      <c r="L87" s="233"/>
      <c r="M87" s="205">
        <f t="shared" si="14"/>
        <v>10000</v>
      </c>
      <c r="N87" s="173">
        <v>10000</v>
      </c>
      <c r="O87" s="46"/>
      <c r="P87" s="533"/>
    </row>
    <row r="88" spans="1:16" s="17" customFormat="1" ht="12.75">
      <c r="A88" s="150"/>
      <c r="B88" s="87"/>
      <c r="C88" s="46" t="s">
        <v>385</v>
      </c>
      <c r="D88" s="238">
        <f>+E88+M88</f>
        <v>100000</v>
      </c>
      <c r="E88" s="238"/>
      <c r="F88" s="46"/>
      <c r="G88" s="46"/>
      <c r="H88" s="46"/>
      <c r="I88" s="46"/>
      <c r="J88" s="46"/>
      <c r="K88" s="173"/>
      <c r="L88" s="233"/>
      <c r="M88" s="205">
        <f t="shared" si="14"/>
        <v>100000</v>
      </c>
      <c r="N88" s="173">
        <v>100000</v>
      </c>
      <c r="O88" s="46"/>
      <c r="P88" s="533"/>
    </row>
    <row r="89" spans="1:16" s="17" customFormat="1" ht="12.75">
      <c r="A89" s="150"/>
      <c r="B89" s="87"/>
      <c r="C89" s="46" t="s">
        <v>399</v>
      </c>
      <c r="D89" s="238">
        <f>+E89+M89</f>
        <v>570000</v>
      </c>
      <c r="E89" s="238"/>
      <c r="F89" s="46">
        <f t="shared" si="13"/>
        <v>0</v>
      </c>
      <c r="G89" s="46"/>
      <c r="H89" s="46"/>
      <c r="I89" s="46"/>
      <c r="J89" s="46"/>
      <c r="K89" s="173"/>
      <c r="L89" s="233"/>
      <c r="M89" s="205">
        <f t="shared" si="14"/>
        <v>570000</v>
      </c>
      <c r="N89" s="173">
        <f>700000-130000</f>
        <v>570000</v>
      </c>
      <c r="O89" s="46">
        <f>+N89</f>
        <v>570000</v>
      </c>
      <c r="P89" s="533"/>
    </row>
    <row r="90" spans="1:16" s="17" customFormat="1" ht="12.75">
      <c r="A90" s="101"/>
      <c r="B90" s="99">
        <v>75414</v>
      </c>
      <c r="C90" s="97" t="s">
        <v>137</v>
      </c>
      <c r="D90" s="240">
        <f t="shared" si="12"/>
        <v>9344</v>
      </c>
      <c r="E90" s="240">
        <f>+E91</f>
        <v>9344</v>
      </c>
      <c r="F90" s="97">
        <f t="shared" si="13"/>
        <v>8444</v>
      </c>
      <c r="G90" s="97"/>
      <c r="H90" s="97">
        <f>+H91</f>
        <v>8444</v>
      </c>
      <c r="I90" s="97"/>
      <c r="J90" s="97">
        <f>+J91</f>
        <v>900</v>
      </c>
      <c r="K90" s="177"/>
      <c r="L90" s="220"/>
      <c r="M90" s="211">
        <f t="shared" si="14"/>
        <v>0</v>
      </c>
      <c r="N90" s="512">
        <f>+N91</f>
        <v>0</v>
      </c>
      <c r="O90" s="187"/>
      <c r="P90" s="537"/>
    </row>
    <row r="91" spans="1:16" s="17" customFormat="1" ht="12.75">
      <c r="A91" s="101"/>
      <c r="B91" s="99"/>
      <c r="C91" s="46" t="s">
        <v>256</v>
      </c>
      <c r="D91" s="238">
        <f>+E91+M91</f>
        <v>9344</v>
      </c>
      <c r="E91" s="228">
        <f>SUM(F91,I91:L91)</f>
        <v>9344</v>
      </c>
      <c r="F91" s="46">
        <f t="shared" si="13"/>
        <v>8444</v>
      </c>
      <c r="G91" s="46"/>
      <c r="H91" s="46">
        <f>5444+7000+86000-90000</f>
        <v>8444</v>
      </c>
      <c r="I91" s="97"/>
      <c r="J91" s="46">
        <v>900</v>
      </c>
      <c r="K91" s="177"/>
      <c r="L91" s="220"/>
      <c r="M91" s="205">
        <f>SUM(N91:P91)</f>
        <v>0</v>
      </c>
      <c r="N91" s="517">
        <f>30000+20000-50000</f>
        <v>0</v>
      </c>
      <c r="O91" s="463"/>
      <c r="P91" s="545"/>
    </row>
    <row r="92" spans="1:17" s="17" customFormat="1" ht="30" customHeight="1">
      <c r="A92" s="104">
        <v>756</v>
      </c>
      <c r="B92" s="83"/>
      <c r="C92" s="85" t="s">
        <v>257</v>
      </c>
      <c r="D92" s="231">
        <f t="shared" si="12"/>
        <v>99000</v>
      </c>
      <c r="E92" s="231">
        <f>+E93</f>
        <v>99000</v>
      </c>
      <c r="F92" s="85">
        <f t="shared" si="13"/>
        <v>99000</v>
      </c>
      <c r="G92" s="85">
        <f>+G93</f>
        <v>77500</v>
      </c>
      <c r="H92" s="85">
        <f>+H93</f>
        <v>21500</v>
      </c>
      <c r="I92" s="85"/>
      <c r="J92" s="85"/>
      <c r="K92" s="457"/>
      <c r="L92" s="202"/>
      <c r="M92" s="201"/>
      <c r="N92" s="519"/>
      <c r="O92" s="276"/>
      <c r="P92" s="546"/>
      <c r="Q92" s="465">
        <f>SUM(I92:L92,F92)-E92</f>
        <v>0</v>
      </c>
    </row>
    <row r="93" spans="1:16" s="17" customFormat="1" ht="12.75">
      <c r="A93" s="108"/>
      <c r="B93" s="81">
        <v>75647</v>
      </c>
      <c r="C93" s="82" t="s">
        <v>357</v>
      </c>
      <c r="D93" s="230">
        <f aca="true" t="shared" si="15" ref="D93:D119">+E93+M93</f>
        <v>99000</v>
      </c>
      <c r="E93" s="230">
        <f>+E94</f>
        <v>99000</v>
      </c>
      <c r="F93" s="74">
        <f t="shared" si="13"/>
        <v>99000</v>
      </c>
      <c r="G93" s="74">
        <f>+G94</f>
        <v>77500</v>
      </c>
      <c r="H93" s="74">
        <f>+H94</f>
        <v>21500</v>
      </c>
      <c r="I93" s="74"/>
      <c r="J93" s="74"/>
      <c r="K93" s="172"/>
      <c r="L93" s="206"/>
      <c r="M93" s="204"/>
      <c r="N93" s="509"/>
      <c r="O93" s="157"/>
      <c r="P93" s="533"/>
    </row>
    <row r="94" spans="1:16" s="17" customFormat="1" ht="12.75">
      <c r="A94" s="118"/>
      <c r="B94" s="121"/>
      <c r="C94" s="122" t="s">
        <v>102</v>
      </c>
      <c r="D94" s="250">
        <f t="shared" si="15"/>
        <v>99000</v>
      </c>
      <c r="E94" s="238">
        <f>SUM(F94,I94:L94)</f>
        <v>99000</v>
      </c>
      <c r="F94" s="46">
        <f t="shared" si="13"/>
        <v>99000</v>
      </c>
      <c r="G94" s="47">
        <v>77500</v>
      </c>
      <c r="H94" s="47">
        <v>21500</v>
      </c>
      <c r="I94" s="47"/>
      <c r="J94" s="47"/>
      <c r="K94" s="458"/>
      <c r="L94" s="251"/>
      <c r="M94" s="219"/>
      <c r="N94" s="510"/>
      <c r="O94" s="198"/>
      <c r="P94" s="534"/>
    </row>
    <row r="95" spans="1:17" s="17" customFormat="1" ht="15">
      <c r="A95" s="104">
        <v>757</v>
      </c>
      <c r="B95" s="271"/>
      <c r="C95" s="272" t="s">
        <v>103</v>
      </c>
      <c r="D95" s="273">
        <f t="shared" si="15"/>
        <v>1086680</v>
      </c>
      <c r="E95" s="231">
        <f>+E96</f>
        <v>1086680</v>
      </c>
      <c r="F95" s="85">
        <f t="shared" si="13"/>
        <v>0</v>
      </c>
      <c r="G95" s="192"/>
      <c r="H95" s="192">
        <f>+H96</f>
        <v>0</v>
      </c>
      <c r="I95" s="192">
        <f>+I96</f>
        <v>0</v>
      </c>
      <c r="J95" s="192"/>
      <c r="K95" s="461"/>
      <c r="L95" s="274">
        <f>+L96</f>
        <v>1086680</v>
      </c>
      <c r="M95" s="275"/>
      <c r="N95" s="520"/>
      <c r="O95" s="195"/>
      <c r="P95" s="547"/>
      <c r="Q95" s="465">
        <f>SUM(I95:L95,F95)-E95</f>
        <v>0</v>
      </c>
    </row>
    <row r="96" spans="1:16" s="17" customFormat="1" ht="12.75">
      <c r="A96" s="280"/>
      <c r="B96" s="76">
        <v>75702</v>
      </c>
      <c r="C96" s="77" t="s">
        <v>104</v>
      </c>
      <c r="D96" s="242">
        <f t="shared" si="15"/>
        <v>1086680</v>
      </c>
      <c r="E96" s="242">
        <f>SUM(E97:E103)</f>
        <v>1086680</v>
      </c>
      <c r="F96" s="45">
        <f t="shared" si="13"/>
        <v>0</v>
      </c>
      <c r="G96" s="45"/>
      <c r="H96" s="45"/>
      <c r="I96" s="45"/>
      <c r="J96" s="45"/>
      <c r="K96" s="460"/>
      <c r="L96" s="243">
        <f>SUM(L97:L103)</f>
        <v>1086680</v>
      </c>
      <c r="M96" s="216"/>
      <c r="N96" s="509"/>
      <c r="O96" s="157"/>
      <c r="P96" s="533"/>
    </row>
    <row r="97" spans="1:16" s="17" customFormat="1" ht="12.75">
      <c r="A97" s="108"/>
      <c r="B97" s="109"/>
      <c r="C97" s="110" t="s">
        <v>371</v>
      </c>
      <c r="D97" s="238">
        <f t="shared" si="15"/>
        <v>400000</v>
      </c>
      <c r="E97" s="228">
        <f aca="true" t="shared" si="16" ref="E97:E103">SUM(F97,I97:L97)</f>
        <v>400000</v>
      </c>
      <c r="F97" s="46">
        <f t="shared" si="13"/>
        <v>0</v>
      </c>
      <c r="G97" s="46"/>
      <c r="H97" s="46"/>
      <c r="I97" s="46"/>
      <c r="J97" s="46"/>
      <c r="K97" s="173"/>
      <c r="L97" s="233">
        <v>400000</v>
      </c>
      <c r="M97" s="205"/>
      <c r="N97" s="509"/>
      <c r="O97" s="157"/>
      <c r="P97" s="533"/>
    </row>
    <row r="98" spans="1:16" s="17" customFormat="1" ht="12.75">
      <c r="A98" s="108"/>
      <c r="B98" s="109"/>
      <c r="C98" s="110" t="s">
        <v>264</v>
      </c>
      <c r="D98" s="238">
        <f t="shared" si="15"/>
        <v>126000</v>
      </c>
      <c r="E98" s="228">
        <f t="shared" si="16"/>
        <v>126000</v>
      </c>
      <c r="F98" s="46">
        <f t="shared" si="13"/>
        <v>0</v>
      </c>
      <c r="G98" s="46"/>
      <c r="H98" s="46"/>
      <c r="I98" s="46"/>
      <c r="J98" s="46"/>
      <c r="K98" s="173"/>
      <c r="L98" s="233">
        <v>126000</v>
      </c>
      <c r="M98" s="205"/>
      <c r="N98" s="509"/>
      <c r="O98" s="157"/>
      <c r="P98" s="533"/>
    </row>
    <row r="99" spans="1:16" s="17" customFormat="1" ht="12.75">
      <c r="A99" s="108"/>
      <c r="B99" s="109"/>
      <c r="C99" s="110" t="s">
        <v>222</v>
      </c>
      <c r="D99" s="238">
        <f t="shared" si="15"/>
        <v>25000</v>
      </c>
      <c r="E99" s="228">
        <f t="shared" si="16"/>
        <v>25000</v>
      </c>
      <c r="F99" s="46">
        <f t="shared" si="13"/>
        <v>0</v>
      </c>
      <c r="G99" s="46"/>
      <c r="H99" s="46"/>
      <c r="I99" s="46"/>
      <c r="J99" s="46"/>
      <c r="K99" s="173"/>
      <c r="L99" s="233">
        <v>25000</v>
      </c>
      <c r="M99" s="205"/>
      <c r="N99" s="509"/>
      <c r="O99" s="157"/>
      <c r="P99" s="533"/>
    </row>
    <row r="100" spans="1:16" s="17" customFormat="1" ht="12.75">
      <c r="A100" s="108"/>
      <c r="B100" s="109"/>
      <c r="C100" s="110" t="s">
        <v>223</v>
      </c>
      <c r="D100" s="238">
        <f t="shared" si="15"/>
        <v>10000</v>
      </c>
      <c r="E100" s="228">
        <f t="shared" si="16"/>
        <v>10000</v>
      </c>
      <c r="F100" s="46">
        <f t="shared" si="13"/>
        <v>0</v>
      </c>
      <c r="G100" s="46"/>
      <c r="H100" s="46"/>
      <c r="I100" s="46"/>
      <c r="J100" s="46"/>
      <c r="K100" s="173"/>
      <c r="L100" s="233">
        <v>10000</v>
      </c>
      <c r="M100" s="205"/>
      <c r="N100" s="509"/>
      <c r="O100" s="157"/>
      <c r="P100" s="533"/>
    </row>
    <row r="101" spans="1:16" s="17" customFormat="1" ht="12.75">
      <c r="A101" s="108"/>
      <c r="B101" s="109"/>
      <c r="C101" s="110" t="s">
        <v>303</v>
      </c>
      <c r="D101" s="238">
        <f t="shared" si="15"/>
        <v>200000</v>
      </c>
      <c r="E101" s="228">
        <f t="shared" si="16"/>
        <v>200000</v>
      </c>
      <c r="F101" s="46">
        <f t="shared" si="13"/>
        <v>0</v>
      </c>
      <c r="G101" s="46"/>
      <c r="H101" s="46"/>
      <c r="I101" s="46"/>
      <c r="J101" s="46"/>
      <c r="K101" s="173"/>
      <c r="L101" s="233">
        <v>200000</v>
      </c>
      <c r="M101" s="205"/>
      <c r="N101" s="509"/>
      <c r="O101" s="157"/>
      <c r="P101" s="533"/>
    </row>
    <row r="102" spans="1:16" s="17" customFormat="1" ht="12.75">
      <c r="A102" s="108"/>
      <c r="B102" s="109"/>
      <c r="C102" s="110" t="s">
        <v>224</v>
      </c>
      <c r="D102" s="238">
        <f t="shared" si="15"/>
        <v>240000</v>
      </c>
      <c r="E102" s="228">
        <f t="shared" si="16"/>
        <v>240000</v>
      </c>
      <c r="F102" s="46">
        <f t="shared" si="13"/>
        <v>0</v>
      </c>
      <c r="G102" s="46"/>
      <c r="H102" s="46"/>
      <c r="I102" s="46"/>
      <c r="J102" s="46"/>
      <c r="K102" s="173"/>
      <c r="L102" s="233">
        <v>240000</v>
      </c>
      <c r="M102" s="205"/>
      <c r="N102" s="509"/>
      <c r="O102" s="157"/>
      <c r="P102" s="533"/>
    </row>
    <row r="103" spans="1:16" s="17" customFormat="1" ht="12.75">
      <c r="A103" s="108"/>
      <c r="B103" s="109"/>
      <c r="C103" s="110" t="s">
        <v>302</v>
      </c>
      <c r="D103" s="238">
        <f t="shared" si="15"/>
        <v>85680</v>
      </c>
      <c r="E103" s="228">
        <f t="shared" si="16"/>
        <v>85680</v>
      </c>
      <c r="F103" s="46">
        <f t="shared" si="13"/>
        <v>0</v>
      </c>
      <c r="G103" s="46"/>
      <c r="H103" s="46"/>
      <c r="I103" s="46"/>
      <c r="J103" s="46"/>
      <c r="K103" s="173"/>
      <c r="L103" s="233">
        <v>85680</v>
      </c>
      <c r="M103" s="205"/>
      <c r="N103" s="509"/>
      <c r="O103" s="157"/>
      <c r="P103" s="533"/>
    </row>
    <row r="104" spans="1:17" s="17" customFormat="1" ht="15">
      <c r="A104" s="104">
        <v>758</v>
      </c>
      <c r="B104" s="105"/>
      <c r="C104" s="106" t="s">
        <v>105</v>
      </c>
      <c r="D104" s="236">
        <f t="shared" si="15"/>
        <v>565000</v>
      </c>
      <c r="E104" s="236">
        <f>+E105</f>
        <v>565000</v>
      </c>
      <c r="F104" s="73">
        <f t="shared" si="13"/>
        <v>565000</v>
      </c>
      <c r="G104" s="73"/>
      <c r="H104" s="73">
        <f>+H105</f>
        <v>565000</v>
      </c>
      <c r="I104" s="73"/>
      <c r="J104" s="73"/>
      <c r="K104" s="175"/>
      <c r="L104" s="209"/>
      <c r="M104" s="208">
        <f>+M105</f>
        <v>0</v>
      </c>
      <c r="N104" s="521"/>
      <c r="O104" s="197"/>
      <c r="P104" s="548"/>
      <c r="Q104" s="465">
        <f>SUM(I104:L104,F104)-E104</f>
        <v>0</v>
      </c>
    </row>
    <row r="105" spans="1:16" s="17" customFormat="1" ht="12.75">
      <c r="A105" s="280"/>
      <c r="B105" s="81">
        <v>75818</v>
      </c>
      <c r="C105" s="82" t="s">
        <v>106</v>
      </c>
      <c r="D105" s="230">
        <f t="shared" si="15"/>
        <v>565000</v>
      </c>
      <c r="E105" s="230">
        <f>SUM(E106:E110)</f>
        <v>565000</v>
      </c>
      <c r="F105" s="74">
        <f t="shared" si="13"/>
        <v>565000</v>
      </c>
      <c r="G105" s="74">
        <f>SUM(G106:G110)</f>
        <v>0</v>
      </c>
      <c r="H105" s="74">
        <f>SUM(H106:H110)</f>
        <v>565000</v>
      </c>
      <c r="I105" s="74"/>
      <c r="J105" s="74"/>
      <c r="K105" s="172"/>
      <c r="L105" s="206"/>
      <c r="M105" s="204"/>
      <c r="N105" s="509"/>
      <c r="O105" s="157"/>
      <c r="P105" s="533"/>
    </row>
    <row r="106" spans="1:16" s="17" customFormat="1" ht="12.75">
      <c r="A106" s="108"/>
      <c r="B106" s="109"/>
      <c r="C106" s="110" t="s">
        <v>213</v>
      </c>
      <c r="D106" s="238">
        <f t="shared" si="15"/>
        <v>230000</v>
      </c>
      <c r="E106" s="228">
        <f>SUM(F106,I106:L106)</f>
        <v>230000</v>
      </c>
      <c r="F106" s="46">
        <f t="shared" si="13"/>
        <v>230000</v>
      </c>
      <c r="G106" s="46"/>
      <c r="H106" s="46">
        <f>400000-200000+30000</f>
        <v>230000</v>
      </c>
      <c r="I106" s="46"/>
      <c r="J106" s="46"/>
      <c r="K106" s="173"/>
      <c r="L106" s="233"/>
      <c r="M106" s="205"/>
      <c r="N106" s="509"/>
      <c r="O106" s="157"/>
      <c r="P106" s="533"/>
    </row>
    <row r="107" spans="1:16" s="17" customFormat="1" ht="12.75">
      <c r="A107" s="108"/>
      <c r="B107" s="109"/>
      <c r="C107" s="110" t="s">
        <v>243</v>
      </c>
      <c r="D107" s="238">
        <f t="shared" si="15"/>
        <v>140000</v>
      </c>
      <c r="E107" s="228">
        <f>SUM(F107,I107:L107)</f>
        <v>140000</v>
      </c>
      <c r="F107" s="46">
        <f t="shared" si="13"/>
        <v>140000</v>
      </c>
      <c r="G107" s="46"/>
      <c r="H107" s="46">
        <f>50000+90000</f>
        <v>140000</v>
      </c>
      <c r="I107" s="46"/>
      <c r="J107" s="46"/>
      <c r="K107" s="173"/>
      <c r="L107" s="233"/>
      <c r="M107" s="205"/>
      <c r="N107" s="509"/>
      <c r="O107" s="157"/>
      <c r="P107" s="533"/>
    </row>
    <row r="108" spans="1:16" s="17" customFormat="1" ht="12.75">
      <c r="A108" s="108"/>
      <c r="B108" s="109"/>
      <c r="C108" s="110" t="s">
        <v>107</v>
      </c>
      <c r="D108" s="238">
        <f t="shared" si="15"/>
        <v>100000</v>
      </c>
      <c r="E108" s="228">
        <f>SUM(F108,I108:L108)</f>
        <v>100000</v>
      </c>
      <c r="F108" s="95">
        <f t="shared" si="13"/>
        <v>100000</v>
      </c>
      <c r="G108" s="95"/>
      <c r="H108" s="95">
        <f>200000-100000</f>
        <v>100000</v>
      </c>
      <c r="I108" s="46"/>
      <c r="J108" s="46"/>
      <c r="K108" s="173"/>
      <c r="L108" s="233"/>
      <c r="M108" s="205"/>
      <c r="N108" s="509"/>
      <c r="O108" s="157"/>
      <c r="P108" s="533"/>
    </row>
    <row r="109" spans="1:16" s="17" customFormat="1" ht="12.75" customHeight="1">
      <c r="A109" s="108"/>
      <c r="B109" s="109"/>
      <c r="C109" s="110" t="s">
        <v>108</v>
      </c>
      <c r="D109" s="238">
        <f t="shared" si="15"/>
        <v>45000</v>
      </c>
      <c r="E109" s="228">
        <f>SUM(F109,I109:L109)</f>
        <v>45000</v>
      </c>
      <c r="F109" s="46">
        <f t="shared" si="13"/>
        <v>45000</v>
      </c>
      <c r="G109" s="46"/>
      <c r="H109" s="46">
        <v>45000</v>
      </c>
      <c r="I109" s="46"/>
      <c r="J109" s="46"/>
      <c r="K109" s="173"/>
      <c r="L109" s="233"/>
      <c r="M109" s="205"/>
      <c r="N109" s="509"/>
      <c r="O109" s="157"/>
      <c r="P109" s="533"/>
    </row>
    <row r="110" spans="1:16" s="17" customFormat="1" ht="12.75">
      <c r="A110" s="108"/>
      <c r="B110" s="79"/>
      <c r="C110" s="80" t="s">
        <v>358</v>
      </c>
      <c r="D110" s="228">
        <f t="shared" si="15"/>
        <v>50000</v>
      </c>
      <c r="E110" s="228">
        <f>SUM(F110,I110:L110)</f>
        <v>50000</v>
      </c>
      <c r="F110" s="49">
        <f t="shared" si="13"/>
        <v>50000</v>
      </c>
      <c r="G110" s="49"/>
      <c r="H110" s="49">
        <f>100000-50000</f>
        <v>50000</v>
      </c>
      <c r="I110" s="49"/>
      <c r="J110" s="49"/>
      <c r="K110" s="171"/>
      <c r="L110" s="229"/>
      <c r="M110" s="203"/>
      <c r="N110" s="509"/>
      <c r="O110" s="157"/>
      <c r="P110" s="533"/>
    </row>
    <row r="111" spans="1:17" s="17" customFormat="1" ht="15">
      <c r="A111" s="104">
        <v>801</v>
      </c>
      <c r="B111" s="105"/>
      <c r="C111" s="106" t="s">
        <v>109</v>
      </c>
      <c r="D111" s="236">
        <f t="shared" si="15"/>
        <v>19806583</v>
      </c>
      <c r="E111" s="236">
        <f>+E112+E127+E134+E137+E147+E149+E151+E157+E159</f>
        <v>19806583</v>
      </c>
      <c r="F111" s="73">
        <f t="shared" si="13"/>
        <v>16793017</v>
      </c>
      <c r="G111" s="73">
        <f aca="true" t="shared" si="17" ref="G111:L111">+G112+G127+G134+G137+G147+G149+G151+G157+G159</f>
        <v>13298211</v>
      </c>
      <c r="H111" s="73">
        <f t="shared" si="17"/>
        <v>3494806</v>
      </c>
      <c r="I111" s="73">
        <f t="shared" si="17"/>
        <v>2029200</v>
      </c>
      <c r="J111" s="73">
        <f t="shared" si="17"/>
        <v>376796</v>
      </c>
      <c r="K111" s="175">
        <f t="shared" si="17"/>
        <v>607570</v>
      </c>
      <c r="L111" s="209">
        <f t="shared" si="17"/>
        <v>0</v>
      </c>
      <c r="M111" s="208">
        <f>+M112</f>
        <v>0</v>
      </c>
      <c r="N111" s="522">
        <f>+N112+N127+N134+N137+N147+N149+N151+N157+N159</f>
        <v>0</v>
      </c>
      <c r="O111" s="483"/>
      <c r="P111" s="549">
        <f>+P112+P127+P134+P137+P147+P149+P151+P157+P159</f>
        <v>0</v>
      </c>
      <c r="Q111" s="465">
        <f>SUM(I111:L111,F111)-E111</f>
        <v>0</v>
      </c>
    </row>
    <row r="112" spans="1:17" s="17" customFormat="1" ht="12.75">
      <c r="A112" s="280"/>
      <c r="B112" s="81">
        <v>80101</v>
      </c>
      <c r="C112" s="82" t="s">
        <v>110</v>
      </c>
      <c r="D112" s="230">
        <f t="shared" si="15"/>
        <v>9752684</v>
      </c>
      <c r="E112" s="230">
        <f>+E113</f>
        <v>9752684</v>
      </c>
      <c r="F112" s="74">
        <f t="shared" si="13"/>
        <v>9565084</v>
      </c>
      <c r="G112" s="74">
        <f>+G113</f>
        <v>7680200</v>
      </c>
      <c r="H112" s="74">
        <f>+H113</f>
        <v>1884884</v>
      </c>
      <c r="I112" s="74"/>
      <c r="J112" s="74">
        <f>+J113</f>
        <v>187600</v>
      </c>
      <c r="K112" s="172"/>
      <c r="L112" s="206"/>
      <c r="M112" s="204">
        <f>SUM(M113:M124)</f>
        <v>0</v>
      </c>
      <c r="N112" s="513"/>
      <c r="O112" s="184"/>
      <c r="P112" s="550"/>
      <c r="Q112" s="465">
        <f>SUM(I112:L112,F112)-E112</f>
        <v>0</v>
      </c>
    </row>
    <row r="113" spans="1:16" s="17" customFormat="1" ht="12.75">
      <c r="A113" s="108"/>
      <c r="B113" s="79"/>
      <c r="C113" s="80" t="s">
        <v>111</v>
      </c>
      <c r="D113" s="228">
        <f t="shared" si="15"/>
        <v>9752684</v>
      </c>
      <c r="E113" s="228">
        <f>SUM(E115:E120)</f>
        <v>9752684</v>
      </c>
      <c r="F113" s="49">
        <f t="shared" si="13"/>
        <v>9565084</v>
      </c>
      <c r="G113" s="49">
        <f>SUM(G115:G119)</f>
        <v>7680200</v>
      </c>
      <c r="H113" s="49">
        <f>SUM(H115:H120)</f>
        <v>1884884</v>
      </c>
      <c r="I113" s="49"/>
      <c r="J113" s="49">
        <f>SUM(J115:J119)</f>
        <v>187600</v>
      </c>
      <c r="K113" s="171"/>
      <c r="L113" s="229"/>
      <c r="M113" s="203"/>
      <c r="N113" s="509"/>
      <c r="O113" s="157"/>
      <c r="P113" s="533"/>
    </row>
    <row r="114" spans="1:16" s="17" customFormat="1" ht="12.75">
      <c r="A114" s="108"/>
      <c r="B114" s="79"/>
      <c r="C114" s="80" t="s">
        <v>120</v>
      </c>
      <c r="D114" s="228"/>
      <c r="E114" s="228"/>
      <c r="F114" s="49">
        <f t="shared" si="13"/>
        <v>0</v>
      </c>
      <c r="G114" s="49"/>
      <c r="H114" s="49"/>
      <c r="I114" s="49"/>
      <c r="J114" s="49"/>
      <c r="K114" s="171"/>
      <c r="L114" s="229"/>
      <c r="M114" s="203"/>
      <c r="N114" s="509"/>
      <c r="O114" s="157"/>
      <c r="P114" s="533"/>
    </row>
    <row r="115" spans="1:16" s="17" customFormat="1" ht="12.75">
      <c r="A115" s="108"/>
      <c r="B115" s="109"/>
      <c r="C115" s="111" t="s">
        <v>117</v>
      </c>
      <c r="D115" s="238">
        <f t="shared" si="15"/>
        <v>2721081</v>
      </c>
      <c r="E115" s="228">
        <f>SUM(F115,I115:L115)</f>
        <v>2721081</v>
      </c>
      <c r="F115" s="46">
        <f t="shared" si="13"/>
        <v>2716601</v>
      </c>
      <c r="G115" s="46">
        <f>2322800-124000</f>
        <v>2198800</v>
      </c>
      <c r="H115" s="46">
        <f>2847581-J115-G115-H121-124000</f>
        <v>517801</v>
      </c>
      <c r="I115" s="46"/>
      <c r="J115" s="46">
        <v>4480</v>
      </c>
      <c r="K115" s="173"/>
      <c r="L115" s="233"/>
      <c r="M115" s="205"/>
      <c r="N115" s="509"/>
      <c r="O115" s="157"/>
      <c r="P115" s="533"/>
    </row>
    <row r="116" spans="1:16" s="17" customFormat="1" ht="12.75">
      <c r="A116" s="108"/>
      <c r="B116" s="109"/>
      <c r="C116" s="111" t="s">
        <v>113</v>
      </c>
      <c r="D116" s="238">
        <f t="shared" si="15"/>
        <v>2649374</v>
      </c>
      <c r="E116" s="228">
        <f>SUM(F116,I116:L116)</f>
        <v>2649374</v>
      </c>
      <c r="F116" s="46">
        <f t="shared" si="13"/>
        <v>2643269</v>
      </c>
      <c r="G116" s="46">
        <f>2162100-116000</f>
        <v>2046100</v>
      </c>
      <c r="H116" s="46">
        <f>2761250-G116-J116-H122-116000+7624</f>
        <v>597169</v>
      </c>
      <c r="I116" s="46"/>
      <c r="J116" s="46">
        <v>6105</v>
      </c>
      <c r="K116" s="173"/>
      <c r="L116" s="233"/>
      <c r="M116" s="205"/>
      <c r="N116" s="509"/>
      <c r="O116" s="157"/>
      <c r="P116" s="533"/>
    </row>
    <row r="117" spans="1:16" s="17" customFormat="1" ht="12.75">
      <c r="A117" s="108"/>
      <c r="B117" s="109"/>
      <c r="C117" s="111" t="s">
        <v>114</v>
      </c>
      <c r="D117" s="238">
        <f t="shared" si="15"/>
        <v>1024240</v>
      </c>
      <c r="E117" s="228">
        <f>SUM(F117,I117:L117)</f>
        <v>1024240</v>
      </c>
      <c r="F117" s="95">
        <f t="shared" si="13"/>
        <v>967040</v>
      </c>
      <c r="G117" s="46">
        <v>916000</v>
      </c>
      <c r="H117" s="46">
        <f>1024240-G117-J117</f>
        <v>51040</v>
      </c>
      <c r="I117" s="46"/>
      <c r="J117" s="46">
        <v>57200</v>
      </c>
      <c r="K117" s="173"/>
      <c r="L117" s="233"/>
      <c r="M117" s="205"/>
      <c r="N117" s="509"/>
      <c r="O117" s="157"/>
      <c r="P117" s="533"/>
    </row>
    <row r="118" spans="1:16" s="17" customFormat="1" ht="12.75">
      <c r="A118" s="108"/>
      <c r="B118" s="109"/>
      <c r="C118" s="111" t="s">
        <v>115</v>
      </c>
      <c r="D118" s="238">
        <f t="shared" si="15"/>
        <v>2374843</v>
      </c>
      <c r="E118" s="228">
        <f>SUM(F118,I118:L118)</f>
        <v>2374843</v>
      </c>
      <c r="F118" s="46">
        <f t="shared" si="13"/>
        <v>2299228</v>
      </c>
      <c r="G118" s="46">
        <f>1891500-101000</f>
        <v>1790500</v>
      </c>
      <c r="H118" s="46">
        <f>2478343-G118-J118-H123-101000</f>
        <v>508728</v>
      </c>
      <c r="I118" s="46"/>
      <c r="J118" s="46">
        <v>75615</v>
      </c>
      <c r="K118" s="173"/>
      <c r="L118" s="229"/>
      <c r="M118" s="203"/>
      <c r="N118" s="509"/>
      <c r="O118" s="157"/>
      <c r="P118" s="533"/>
    </row>
    <row r="119" spans="1:16" s="17" customFormat="1" ht="12.75">
      <c r="A119" s="108"/>
      <c r="B119" s="109"/>
      <c r="C119" s="111" t="s">
        <v>116</v>
      </c>
      <c r="D119" s="238">
        <f t="shared" si="15"/>
        <v>972146</v>
      </c>
      <c r="E119" s="228">
        <f>SUM(F119,I119:L119)</f>
        <v>972146</v>
      </c>
      <c r="F119" s="46">
        <f t="shared" si="13"/>
        <v>927946</v>
      </c>
      <c r="G119" s="46">
        <v>728800</v>
      </c>
      <c r="H119" s="46">
        <f>974646-G119-J119-H124</f>
        <v>199146</v>
      </c>
      <c r="I119" s="46"/>
      <c r="J119" s="46">
        <v>44200</v>
      </c>
      <c r="K119" s="173"/>
      <c r="L119" s="233"/>
      <c r="M119" s="205"/>
      <c r="N119" s="509"/>
      <c r="O119" s="157"/>
      <c r="P119" s="533"/>
    </row>
    <row r="120" spans="1:16" s="17" customFormat="1" ht="12.75">
      <c r="A120" s="108"/>
      <c r="B120" s="109"/>
      <c r="C120" s="112" t="s">
        <v>228</v>
      </c>
      <c r="D120" s="240">
        <f>SUM(D121:D124)</f>
        <v>11000</v>
      </c>
      <c r="E120" s="240">
        <f>SUM(E121:E124)</f>
        <v>11000</v>
      </c>
      <c r="F120" s="97">
        <f t="shared" si="13"/>
        <v>11000</v>
      </c>
      <c r="G120" s="97"/>
      <c r="H120" s="97">
        <f>SUM(H121:H124)</f>
        <v>11000</v>
      </c>
      <c r="I120" s="97"/>
      <c r="J120" s="97"/>
      <c r="K120" s="177"/>
      <c r="L120" s="220"/>
      <c r="M120" s="211"/>
      <c r="N120" s="509"/>
      <c r="O120" s="157"/>
      <c r="P120" s="533"/>
    </row>
    <row r="121" spans="1:16" s="17" customFormat="1" ht="12.75">
      <c r="A121" s="108"/>
      <c r="B121" s="109"/>
      <c r="C121" s="110" t="s">
        <v>117</v>
      </c>
      <c r="D121" s="238">
        <f>+E121+M121</f>
        <v>2500</v>
      </c>
      <c r="E121" s="228">
        <f>SUM(F121,I121:L121)</f>
        <v>2500</v>
      </c>
      <c r="F121" s="95">
        <f t="shared" si="13"/>
        <v>2500</v>
      </c>
      <c r="G121" s="95"/>
      <c r="H121" s="46">
        <v>2500</v>
      </c>
      <c r="I121" s="97"/>
      <c r="J121" s="97"/>
      <c r="K121" s="177"/>
      <c r="L121" s="220"/>
      <c r="M121" s="211"/>
      <c r="N121" s="509"/>
      <c r="O121" s="157"/>
      <c r="P121" s="533"/>
    </row>
    <row r="122" spans="1:16" s="17" customFormat="1" ht="12.75">
      <c r="A122" s="108"/>
      <c r="B122" s="109"/>
      <c r="C122" s="111" t="s">
        <v>113</v>
      </c>
      <c r="D122" s="238">
        <f>+E122+M122</f>
        <v>3500</v>
      </c>
      <c r="E122" s="228">
        <f>SUM(F122,I122:L122)</f>
        <v>3500</v>
      </c>
      <c r="F122" s="95">
        <f t="shared" si="13"/>
        <v>3500</v>
      </c>
      <c r="G122" s="95"/>
      <c r="H122" s="46">
        <v>3500</v>
      </c>
      <c r="I122" s="97"/>
      <c r="J122" s="97"/>
      <c r="K122" s="177"/>
      <c r="L122" s="220"/>
      <c r="M122" s="211"/>
      <c r="N122" s="509"/>
      <c r="O122" s="157"/>
      <c r="P122" s="533"/>
    </row>
    <row r="123" spans="1:16" s="17" customFormat="1" ht="12.75">
      <c r="A123" s="108"/>
      <c r="B123" s="109"/>
      <c r="C123" s="111" t="s">
        <v>115</v>
      </c>
      <c r="D123" s="238">
        <f>+E123+M123</f>
        <v>2500</v>
      </c>
      <c r="E123" s="228">
        <f>SUM(F123,I123:L123)</f>
        <v>2500</v>
      </c>
      <c r="F123" s="95">
        <f t="shared" si="13"/>
        <v>2500</v>
      </c>
      <c r="G123" s="95"/>
      <c r="H123" s="46">
        <v>2500</v>
      </c>
      <c r="I123" s="97"/>
      <c r="J123" s="97"/>
      <c r="K123" s="177"/>
      <c r="L123" s="220"/>
      <c r="M123" s="211"/>
      <c r="N123" s="509"/>
      <c r="O123" s="157"/>
      <c r="P123" s="533"/>
    </row>
    <row r="124" spans="1:16" s="17" customFormat="1" ht="12.75">
      <c r="A124" s="108"/>
      <c r="B124" s="109"/>
      <c r="C124" s="110" t="s">
        <v>116</v>
      </c>
      <c r="D124" s="238">
        <f>+E124+M124</f>
        <v>2500</v>
      </c>
      <c r="E124" s="228">
        <f>SUM(F124,I124:L124)</f>
        <v>2500</v>
      </c>
      <c r="F124" s="95">
        <f t="shared" si="13"/>
        <v>2500</v>
      </c>
      <c r="G124" s="95"/>
      <c r="H124" s="46">
        <v>2500</v>
      </c>
      <c r="I124" s="97"/>
      <c r="J124" s="97"/>
      <c r="K124" s="177"/>
      <c r="L124" s="220"/>
      <c r="M124" s="211"/>
      <c r="N124" s="509"/>
      <c r="O124" s="157"/>
      <c r="P124" s="533"/>
    </row>
    <row r="125" spans="1:16" s="17" customFormat="1" ht="12.75">
      <c r="A125" s="108"/>
      <c r="B125" s="109"/>
      <c r="C125" s="103" t="s">
        <v>194</v>
      </c>
      <c r="D125" s="238"/>
      <c r="E125" s="238"/>
      <c r="F125" s="95"/>
      <c r="G125" s="95"/>
      <c r="H125" s="46"/>
      <c r="I125" s="97"/>
      <c r="J125" s="97"/>
      <c r="K125" s="177"/>
      <c r="L125" s="220"/>
      <c r="M125" s="211"/>
      <c r="N125" s="509"/>
      <c r="O125" s="157"/>
      <c r="P125" s="533"/>
    </row>
    <row r="126" spans="1:16" s="17" customFormat="1" ht="12.75">
      <c r="A126" s="108"/>
      <c r="B126" s="109"/>
      <c r="C126" s="110" t="s">
        <v>372</v>
      </c>
      <c r="D126" s="238"/>
      <c r="E126" s="238"/>
      <c r="F126" s="95"/>
      <c r="G126" s="95"/>
      <c r="H126" s="46"/>
      <c r="I126" s="97"/>
      <c r="J126" s="97"/>
      <c r="K126" s="177"/>
      <c r="L126" s="220"/>
      <c r="M126" s="211"/>
      <c r="N126" s="509"/>
      <c r="O126" s="157"/>
      <c r="P126" s="533"/>
    </row>
    <row r="127" spans="1:16" s="17" customFormat="1" ht="12.75">
      <c r="A127" s="280"/>
      <c r="B127" s="114">
        <v>80103</v>
      </c>
      <c r="C127" s="103" t="s">
        <v>253</v>
      </c>
      <c r="D127" s="240">
        <f>+E127+M127</f>
        <v>676637</v>
      </c>
      <c r="E127" s="240">
        <f>SUM(E129:E133)</f>
        <v>676637</v>
      </c>
      <c r="F127" s="97">
        <f t="shared" si="13"/>
        <v>659585</v>
      </c>
      <c r="G127" s="97">
        <f>SUM(G129:G133)</f>
        <v>621140</v>
      </c>
      <c r="H127" s="97">
        <f>SUM(H129:H133)</f>
        <v>38445</v>
      </c>
      <c r="I127" s="97"/>
      <c r="J127" s="97">
        <f>SUM(J129:J133)</f>
        <v>17052</v>
      </c>
      <c r="K127" s="177"/>
      <c r="L127" s="220"/>
      <c r="M127" s="211"/>
      <c r="N127" s="509"/>
      <c r="O127" s="157"/>
      <c r="P127" s="533"/>
    </row>
    <row r="128" spans="1:16" s="17" customFormat="1" ht="12.75">
      <c r="A128" s="108"/>
      <c r="B128" s="109"/>
      <c r="C128" s="111" t="s">
        <v>112</v>
      </c>
      <c r="D128" s="241"/>
      <c r="E128" s="241"/>
      <c r="F128" s="95">
        <f t="shared" si="13"/>
        <v>0</v>
      </c>
      <c r="G128" s="95"/>
      <c r="H128" s="46"/>
      <c r="I128" s="46"/>
      <c r="J128" s="46"/>
      <c r="K128" s="173"/>
      <c r="L128" s="233"/>
      <c r="M128" s="205"/>
      <c r="N128" s="509"/>
      <c r="O128" s="157"/>
      <c r="P128" s="533"/>
    </row>
    <row r="129" spans="1:16" s="17" customFormat="1" ht="12.75">
      <c r="A129" s="108"/>
      <c r="B129" s="79"/>
      <c r="C129" s="71" t="s">
        <v>117</v>
      </c>
      <c r="D129" s="246">
        <f aca="true" t="shared" si="18" ref="D129:D137">+E129+M129</f>
        <v>192628</v>
      </c>
      <c r="E129" s="228">
        <f>SUM(F129,I129:L129)</f>
        <v>192628</v>
      </c>
      <c r="F129" s="72">
        <f t="shared" si="13"/>
        <v>192218</v>
      </c>
      <c r="G129" s="49">
        <v>181700</v>
      </c>
      <c r="H129" s="49">
        <f>192628-G129-J129</f>
        <v>10518</v>
      </c>
      <c r="I129" s="49"/>
      <c r="J129" s="49">
        <v>410</v>
      </c>
      <c r="K129" s="171"/>
      <c r="L129" s="229"/>
      <c r="M129" s="203"/>
      <c r="N129" s="509"/>
      <c r="O129" s="157"/>
      <c r="P129" s="533"/>
    </row>
    <row r="130" spans="1:16" s="17" customFormat="1" ht="12.75">
      <c r="A130" s="108"/>
      <c r="B130" s="79"/>
      <c r="C130" s="71" t="s">
        <v>118</v>
      </c>
      <c r="D130" s="246">
        <f t="shared" si="18"/>
        <v>194426</v>
      </c>
      <c r="E130" s="228">
        <f>SUM(F130,I130:L130)</f>
        <v>194426</v>
      </c>
      <c r="F130" s="72">
        <f t="shared" si="13"/>
        <v>193988</v>
      </c>
      <c r="G130" s="49">
        <v>183350</v>
      </c>
      <c r="H130" s="49">
        <f>194426-G130-J130</f>
        <v>10638</v>
      </c>
      <c r="I130" s="49"/>
      <c r="J130" s="49">
        <v>438</v>
      </c>
      <c r="K130" s="171"/>
      <c r="L130" s="229"/>
      <c r="M130" s="203"/>
      <c r="N130" s="509"/>
      <c r="O130" s="157"/>
      <c r="P130" s="533"/>
    </row>
    <row r="131" spans="1:16" s="17" customFormat="1" ht="12.75">
      <c r="A131" s="108"/>
      <c r="B131" s="79"/>
      <c r="C131" s="71" t="s">
        <v>114</v>
      </c>
      <c r="D131" s="246">
        <f t="shared" si="18"/>
        <v>52779</v>
      </c>
      <c r="E131" s="228">
        <f>SUM(F131,I131:L131)</f>
        <v>52779</v>
      </c>
      <c r="F131" s="72">
        <f t="shared" si="13"/>
        <v>49163</v>
      </c>
      <c r="G131" s="49">
        <v>45750</v>
      </c>
      <c r="H131" s="49">
        <f>52779-G131-J131</f>
        <v>3413</v>
      </c>
      <c r="I131" s="49"/>
      <c r="J131" s="49">
        <v>3616</v>
      </c>
      <c r="K131" s="171"/>
      <c r="L131" s="229"/>
      <c r="M131" s="203"/>
      <c r="N131" s="509"/>
      <c r="O131" s="157"/>
      <c r="P131" s="533"/>
    </row>
    <row r="132" spans="1:16" s="17" customFormat="1" ht="12.75">
      <c r="A132" s="108"/>
      <c r="B132" s="79"/>
      <c r="C132" s="71" t="s">
        <v>115</v>
      </c>
      <c r="D132" s="246">
        <f t="shared" si="18"/>
        <v>173473</v>
      </c>
      <c r="E132" s="228">
        <f>SUM(F132,I132:L132)</f>
        <v>173473</v>
      </c>
      <c r="F132" s="72">
        <f aca="true" t="shared" si="19" ref="F132:F195">+G132+H132</f>
        <v>165110</v>
      </c>
      <c r="G132" s="49">
        <v>154720</v>
      </c>
      <c r="H132" s="49">
        <f>173473-G132-J132</f>
        <v>10390</v>
      </c>
      <c r="I132" s="49"/>
      <c r="J132" s="49">
        <v>8363</v>
      </c>
      <c r="K132" s="171"/>
      <c r="L132" s="229"/>
      <c r="M132" s="203"/>
      <c r="N132" s="509"/>
      <c r="O132" s="157"/>
      <c r="P132" s="533"/>
    </row>
    <row r="133" spans="1:16" s="17" customFormat="1" ht="12.75">
      <c r="A133" s="108"/>
      <c r="B133" s="79"/>
      <c r="C133" s="71" t="s">
        <v>116</v>
      </c>
      <c r="D133" s="246">
        <f t="shared" si="18"/>
        <v>63331</v>
      </c>
      <c r="E133" s="228">
        <f>SUM(F133,I133:L133)</f>
        <v>63331</v>
      </c>
      <c r="F133" s="72">
        <f t="shared" si="19"/>
        <v>59106</v>
      </c>
      <c r="G133" s="49">
        <v>55620</v>
      </c>
      <c r="H133" s="49">
        <f>63331-G133-J133</f>
        <v>3486</v>
      </c>
      <c r="I133" s="49"/>
      <c r="J133" s="49">
        <v>4225</v>
      </c>
      <c r="K133" s="171"/>
      <c r="L133" s="229"/>
      <c r="M133" s="203"/>
      <c r="N133" s="509"/>
      <c r="O133" s="157"/>
      <c r="P133" s="533"/>
    </row>
    <row r="134" spans="1:16" s="17" customFormat="1" ht="12.75">
      <c r="A134" s="108"/>
      <c r="B134" s="81">
        <v>80104</v>
      </c>
      <c r="C134" s="115" t="s">
        <v>128</v>
      </c>
      <c r="D134" s="247">
        <f t="shared" si="18"/>
        <v>2108060</v>
      </c>
      <c r="E134" s="247">
        <f>SUM(E135:E136)</f>
        <v>2108060</v>
      </c>
      <c r="F134" s="116">
        <f t="shared" si="19"/>
        <v>78860</v>
      </c>
      <c r="G134" s="74">
        <f>SUM(G135:G136)</f>
        <v>18860</v>
      </c>
      <c r="H134" s="74">
        <f>SUM(H135:H136)</f>
        <v>60000</v>
      </c>
      <c r="I134" s="74">
        <f>SUM(I135:I136)</f>
        <v>2029200</v>
      </c>
      <c r="J134" s="74"/>
      <c r="K134" s="172"/>
      <c r="L134" s="206"/>
      <c r="M134" s="204"/>
      <c r="N134" s="509"/>
      <c r="O134" s="157"/>
      <c r="P134" s="533"/>
    </row>
    <row r="135" spans="1:16" s="17" customFormat="1" ht="12.75" customHeight="1">
      <c r="A135" s="108"/>
      <c r="B135" s="79"/>
      <c r="C135" s="71" t="s">
        <v>129</v>
      </c>
      <c r="D135" s="246">
        <f t="shared" si="18"/>
        <v>2029200</v>
      </c>
      <c r="E135" s="228">
        <f>SUM(F135,I135:L135)</f>
        <v>2029200</v>
      </c>
      <c r="F135" s="72">
        <f t="shared" si="19"/>
        <v>0</v>
      </c>
      <c r="G135" s="72"/>
      <c r="H135" s="49"/>
      <c r="I135" s="49">
        <v>2029200</v>
      </c>
      <c r="J135" s="49"/>
      <c r="K135" s="171"/>
      <c r="L135" s="229"/>
      <c r="M135" s="203"/>
      <c r="N135" s="509"/>
      <c r="O135" s="157"/>
      <c r="P135" s="533"/>
    </row>
    <row r="136" spans="1:16" s="17" customFormat="1" ht="12.75">
      <c r="A136" s="108"/>
      <c r="B136" s="79"/>
      <c r="C136" s="71" t="s">
        <v>263</v>
      </c>
      <c r="D136" s="246">
        <f t="shared" si="18"/>
        <v>78860</v>
      </c>
      <c r="E136" s="228">
        <f>SUM(F136,I136:L136)</f>
        <v>78860</v>
      </c>
      <c r="F136" s="72">
        <f t="shared" si="19"/>
        <v>78860</v>
      </c>
      <c r="G136" s="49">
        <v>18860</v>
      </c>
      <c r="H136" s="49">
        <v>60000</v>
      </c>
      <c r="I136" s="49"/>
      <c r="J136" s="49"/>
      <c r="K136" s="171"/>
      <c r="L136" s="229"/>
      <c r="M136" s="203"/>
      <c r="N136" s="509"/>
      <c r="O136" s="157"/>
      <c r="P136" s="533"/>
    </row>
    <row r="137" spans="1:16" s="17" customFormat="1" ht="12.75">
      <c r="A137" s="108"/>
      <c r="B137" s="81">
        <v>80110</v>
      </c>
      <c r="C137" s="115" t="s">
        <v>119</v>
      </c>
      <c r="D137" s="247">
        <f t="shared" si="18"/>
        <v>5324309</v>
      </c>
      <c r="E137" s="247">
        <f>SUM(E139:E143)</f>
        <v>5324309</v>
      </c>
      <c r="F137" s="116">
        <f t="shared" si="19"/>
        <v>5269565</v>
      </c>
      <c r="G137" s="74">
        <f>SUM(G139:G143)</f>
        <v>4207500</v>
      </c>
      <c r="H137" s="74">
        <f>SUM(H139:H143)</f>
        <v>1062065</v>
      </c>
      <c r="I137" s="74"/>
      <c r="J137" s="74">
        <f>SUM(J139:J141)</f>
        <v>54744</v>
      </c>
      <c r="K137" s="172"/>
      <c r="L137" s="206"/>
      <c r="M137" s="204"/>
      <c r="N137" s="509"/>
      <c r="O137" s="157"/>
      <c r="P137" s="533"/>
    </row>
    <row r="138" spans="1:16" s="17" customFormat="1" ht="12.75">
      <c r="A138" s="108"/>
      <c r="B138" s="79"/>
      <c r="C138" s="71" t="s">
        <v>120</v>
      </c>
      <c r="D138" s="246"/>
      <c r="E138" s="246"/>
      <c r="F138" s="72">
        <f t="shared" si="19"/>
        <v>0</v>
      </c>
      <c r="G138" s="72"/>
      <c r="H138" s="49"/>
      <c r="I138" s="49"/>
      <c r="J138" s="49"/>
      <c r="K138" s="171"/>
      <c r="L138" s="229"/>
      <c r="M138" s="203"/>
      <c r="N138" s="509"/>
      <c r="O138" s="157"/>
      <c r="P138" s="533"/>
    </row>
    <row r="139" spans="1:16" s="17" customFormat="1" ht="12.75">
      <c r="A139" s="108"/>
      <c r="B139" s="79"/>
      <c r="C139" s="71" t="s">
        <v>121</v>
      </c>
      <c r="D139" s="246">
        <f aca="true" t="shared" si="20" ref="D139:D146">+E139+M139</f>
        <v>1213979</v>
      </c>
      <c r="E139" s="228">
        <f>SUM(F139,I139:L139)</f>
        <v>1213979</v>
      </c>
      <c r="F139" s="72">
        <f t="shared" si="19"/>
        <v>1212269</v>
      </c>
      <c r="G139" s="49">
        <v>911900</v>
      </c>
      <c r="H139" s="49">
        <f>1216479-G139-J139-H144</f>
        <v>300369</v>
      </c>
      <c r="I139" s="49"/>
      <c r="J139" s="49">
        <v>1710</v>
      </c>
      <c r="K139" s="171"/>
      <c r="L139" s="229"/>
      <c r="M139" s="203"/>
      <c r="N139" s="509"/>
      <c r="O139" s="157"/>
      <c r="P139" s="533"/>
    </row>
    <row r="140" spans="1:16" s="17" customFormat="1" ht="12.75">
      <c r="A140" s="108"/>
      <c r="B140" s="79"/>
      <c r="C140" s="71" t="s">
        <v>122</v>
      </c>
      <c r="D140" s="246">
        <f t="shared" si="20"/>
        <v>3010596</v>
      </c>
      <c r="E140" s="228">
        <f>SUM(F140,I140:L140)</f>
        <v>3010596</v>
      </c>
      <c r="F140" s="72">
        <f t="shared" si="19"/>
        <v>3005362</v>
      </c>
      <c r="G140" s="49">
        <v>2505700</v>
      </c>
      <c r="H140" s="49">
        <f>3013096-G140-J140-H145</f>
        <v>499662</v>
      </c>
      <c r="I140" s="49"/>
      <c r="J140" s="49">
        <v>5234</v>
      </c>
      <c r="K140" s="171"/>
      <c r="L140" s="229"/>
      <c r="M140" s="203"/>
      <c r="N140" s="509"/>
      <c r="O140" s="157"/>
      <c r="P140" s="533"/>
    </row>
    <row r="141" spans="1:16" s="17" customFormat="1" ht="12.75">
      <c r="A141" s="108"/>
      <c r="B141" s="109"/>
      <c r="C141" s="111" t="s">
        <v>123</v>
      </c>
      <c r="D141" s="241">
        <f>+E141+M141</f>
        <v>1092234</v>
      </c>
      <c r="E141" s="228">
        <f>SUM(F141,I141:L141)</f>
        <v>1092234</v>
      </c>
      <c r="F141" s="95">
        <f t="shared" si="19"/>
        <v>1044434</v>
      </c>
      <c r="G141" s="46">
        <v>789900</v>
      </c>
      <c r="H141" s="49">
        <f>1094734-G141-J141-H146</f>
        <v>254534</v>
      </c>
      <c r="I141" s="46"/>
      <c r="J141" s="46">
        <v>47800</v>
      </c>
      <c r="K141" s="173"/>
      <c r="L141" s="233"/>
      <c r="M141" s="205"/>
      <c r="N141" s="509"/>
      <c r="O141" s="157"/>
      <c r="P141" s="533"/>
    </row>
    <row r="142" spans="1:16" s="17" customFormat="1" ht="12.75">
      <c r="A142" s="108"/>
      <c r="B142" s="109"/>
      <c r="C142" s="111" t="s">
        <v>373</v>
      </c>
      <c r="D142" s="241"/>
      <c r="E142" s="228">
        <f>SUM(F142,I142:L142)</f>
        <v>0</v>
      </c>
      <c r="F142" s="95"/>
      <c r="G142" s="46"/>
      <c r="H142" s="46"/>
      <c r="I142" s="46"/>
      <c r="J142" s="46"/>
      <c r="K142" s="173"/>
      <c r="L142" s="233"/>
      <c r="M142" s="205"/>
      <c r="N142" s="509"/>
      <c r="O142" s="157"/>
      <c r="P142" s="533"/>
    </row>
    <row r="143" spans="1:16" s="17" customFormat="1" ht="12.75">
      <c r="A143" s="108"/>
      <c r="B143" s="109"/>
      <c r="C143" s="112" t="s">
        <v>228</v>
      </c>
      <c r="D143" s="248">
        <f t="shared" si="20"/>
        <v>7500</v>
      </c>
      <c r="E143" s="248">
        <f>SUM(E144:E146)</f>
        <v>7500</v>
      </c>
      <c r="F143" s="117">
        <f t="shared" si="19"/>
        <v>7500</v>
      </c>
      <c r="G143" s="117"/>
      <c r="H143" s="117">
        <f>SUM(H144:H146)</f>
        <v>7500</v>
      </c>
      <c r="I143" s="97"/>
      <c r="J143" s="97"/>
      <c r="K143" s="177"/>
      <c r="L143" s="220"/>
      <c r="M143" s="211"/>
      <c r="N143" s="509"/>
      <c r="O143" s="157"/>
      <c r="P143" s="533"/>
    </row>
    <row r="144" spans="1:16" s="17" customFormat="1" ht="12.75">
      <c r="A144" s="108"/>
      <c r="B144" s="109"/>
      <c r="C144" s="111" t="s">
        <v>121</v>
      </c>
      <c r="D144" s="241">
        <f t="shared" si="20"/>
        <v>2500</v>
      </c>
      <c r="E144" s="228">
        <f>SUM(F144,I144:L144)</f>
        <v>2500</v>
      </c>
      <c r="F144" s="95">
        <f t="shared" si="19"/>
        <v>2500</v>
      </c>
      <c r="G144" s="95"/>
      <c r="H144" s="95">
        <v>2500</v>
      </c>
      <c r="I144" s="97"/>
      <c r="J144" s="97"/>
      <c r="K144" s="177"/>
      <c r="L144" s="220"/>
      <c r="M144" s="211"/>
      <c r="N144" s="509"/>
      <c r="O144" s="157"/>
      <c r="P144" s="533"/>
    </row>
    <row r="145" spans="1:16" s="17" customFormat="1" ht="12.75">
      <c r="A145" s="108"/>
      <c r="B145" s="109"/>
      <c r="C145" s="71" t="s">
        <v>122</v>
      </c>
      <c r="D145" s="241">
        <f t="shared" si="20"/>
        <v>2500</v>
      </c>
      <c r="E145" s="228">
        <f>SUM(F145,I145:L145)</f>
        <v>2500</v>
      </c>
      <c r="F145" s="95">
        <f t="shared" si="19"/>
        <v>2500</v>
      </c>
      <c r="G145" s="95"/>
      <c r="H145" s="95">
        <v>2500</v>
      </c>
      <c r="I145" s="97"/>
      <c r="J145" s="97"/>
      <c r="K145" s="177"/>
      <c r="L145" s="220"/>
      <c r="M145" s="211"/>
      <c r="N145" s="509"/>
      <c r="O145" s="157"/>
      <c r="P145" s="533"/>
    </row>
    <row r="146" spans="1:16" s="17" customFormat="1" ht="12.75">
      <c r="A146" s="108"/>
      <c r="B146" s="109"/>
      <c r="C146" s="111" t="s">
        <v>123</v>
      </c>
      <c r="D146" s="241">
        <f t="shared" si="20"/>
        <v>2500</v>
      </c>
      <c r="E146" s="228">
        <f>SUM(F146,I146:L146)</f>
        <v>2500</v>
      </c>
      <c r="F146" s="95">
        <f t="shared" si="19"/>
        <v>2500</v>
      </c>
      <c r="G146" s="95"/>
      <c r="H146" s="95">
        <v>2500</v>
      </c>
      <c r="I146" s="97"/>
      <c r="J146" s="97"/>
      <c r="K146" s="177"/>
      <c r="L146" s="220"/>
      <c r="M146" s="211"/>
      <c r="N146" s="509"/>
      <c r="O146" s="157"/>
      <c r="P146" s="533"/>
    </row>
    <row r="147" spans="1:16" s="17" customFormat="1" ht="12.75">
      <c r="A147" s="280"/>
      <c r="B147" s="114">
        <v>80113</v>
      </c>
      <c r="C147" s="112" t="s">
        <v>124</v>
      </c>
      <c r="D147" s="248">
        <f aca="true" t="shared" si="21" ref="D147:D152">+E147+M147</f>
        <v>172000</v>
      </c>
      <c r="E147" s="248">
        <f>+E148</f>
        <v>172000</v>
      </c>
      <c r="F147" s="117">
        <f t="shared" si="19"/>
        <v>172000</v>
      </c>
      <c r="G147" s="117"/>
      <c r="H147" s="97">
        <f>+H148</f>
        <v>172000</v>
      </c>
      <c r="I147" s="97"/>
      <c r="J147" s="97"/>
      <c r="K147" s="177"/>
      <c r="L147" s="220"/>
      <c r="M147" s="211"/>
      <c r="N147" s="509"/>
      <c r="O147" s="157"/>
      <c r="P147" s="533"/>
    </row>
    <row r="148" spans="1:16" s="17" customFormat="1" ht="12.75">
      <c r="A148" s="108"/>
      <c r="B148" s="109"/>
      <c r="C148" s="111" t="s">
        <v>125</v>
      </c>
      <c r="D148" s="241">
        <f t="shared" si="21"/>
        <v>172000</v>
      </c>
      <c r="E148" s="228">
        <f>SUM(F148,I148:L148)</f>
        <v>172000</v>
      </c>
      <c r="F148" s="95">
        <f t="shared" si="19"/>
        <v>172000</v>
      </c>
      <c r="G148" s="95"/>
      <c r="H148" s="95">
        <f>95000+77000</f>
        <v>172000</v>
      </c>
      <c r="I148" s="46"/>
      <c r="J148" s="46"/>
      <c r="K148" s="173"/>
      <c r="L148" s="233"/>
      <c r="M148" s="205"/>
      <c r="N148" s="509"/>
      <c r="O148" s="157"/>
      <c r="P148" s="533"/>
    </row>
    <row r="149" spans="1:16" s="17" customFormat="1" ht="12.75" customHeight="1">
      <c r="A149" s="108"/>
      <c r="B149" s="114">
        <v>80114</v>
      </c>
      <c r="C149" s="103" t="s">
        <v>126</v>
      </c>
      <c r="D149" s="240">
        <f t="shared" si="21"/>
        <v>753289</v>
      </c>
      <c r="E149" s="240">
        <f>SUM(E150:E150)</f>
        <v>753289</v>
      </c>
      <c r="F149" s="97">
        <f t="shared" si="19"/>
        <v>750789</v>
      </c>
      <c r="G149" s="97">
        <f>+G150</f>
        <v>631411</v>
      </c>
      <c r="H149" s="97">
        <f>+H150</f>
        <v>119378</v>
      </c>
      <c r="I149" s="97"/>
      <c r="J149" s="97">
        <f>+J150</f>
        <v>2500</v>
      </c>
      <c r="K149" s="177"/>
      <c r="L149" s="220"/>
      <c r="M149" s="211"/>
      <c r="N149" s="509"/>
      <c r="O149" s="157"/>
      <c r="P149" s="533"/>
    </row>
    <row r="150" spans="1:16" s="17" customFormat="1" ht="12.75" customHeight="1">
      <c r="A150" s="108"/>
      <c r="B150" s="114"/>
      <c r="C150" s="110" t="s">
        <v>127</v>
      </c>
      <c r="D150" s="238">
        <f>+E150+M150</f>
        <v>753289</v>
      </c>
      <c r="E150" s="228">
        <f>SUM(F150,I150:L150)</f>
        <v>753289</v>
      </c>
      <c r="F150" s="46">
        <f t="shared" si="19"/>
        <v>750789</v>
      </c>
      <c r="G150" s="46">
        <v>631411</v>
      </c>
      <c r="H150" s="46">
        <f>753289-G150-J150</f>
        <v>119378</v>
      </c>
      <c r="I150" s="97"/>
      <c r="J150" s="46">
        <v>2500</v>
      </c>
      <c r="K150" s="173"/>
      <c r="L150" s="220"/>
      <c r="M150" s="211"/>
      <c r="N150" s="509"/>
      <c r="O150" s="157"/>
      <c r="P150" s="533"/>
    </row>
    <row r="151" spans="1:16" s="17" customFormat="1" ht="12.75">
      <c r="A151" s="280"/>
      <c r="B151" s="114">
        <v>80195</v>
      </c>
      <c r="C151" s="103" t="s">
        <v>88</v>
      </c>
      <c r="D151" s="240">
        <f t="shared" si="21"/>
        <v>862702</v>
      </c>
      <c r="E151" s="240">
        <f>SUM(F151,I151,I151:L151)</f>
        <v>862702</v>
      </c>
      <c r="F151" s="97">
        <f t="shared" si="19"/>
        <v>142232</v>
      </c>
      <c r="G151" s="97">
        <f>SUM(G152:G156)</f>
        <v>2000</v>
      </c>
      <c r="H151" s="97">
        <f>SUM(H152:H156)</f>
        <v>140232</v>
      </c>
      <c r="I151" s="97"/>
      <c r="J151" s="97">
        <f>SUM(J152:J156)</f>
        <v>112900</v>
      </c>
      <c r="K151" s="97">
        <f>SUM(K152:K156)</f>
        <v>607570</v>
      </c>
      <c r="L151" s="220"/>
      <c r="M151" s="205"/>
      <c r="N151" s="509"/>
      <c r="O151" s="157"/>
      <c r="P151" s="533"/>
    </row>
    <row r="152" spans="1:16" s="17" customFormat="1" ht="12.75">
      <c r="A152" s="108"/>
      <c r="B152" s="109"/>
      <c r="C152" s="110" t="s">
        <v>260</v>
      </c>
      <c r="D152" s="238">
        <f t="shared" si="21"/>
        <v>2500</v>
      </c>
      <c r="E152" s="228">
        <f>SUM(F152,I152:L152)</f>
        <v>2500</v>
      </c>
      <c r="F152" s="46">
        <f t="shared" si="19"/>
        <v>2500</v>
      </c>
      <c r="G152" s="46">
        <v>2000</v>
      </c>
      <c r="H152" s="46">
        <v>500</v>
      </c>
      <c r="I152" s="46"/>
      <c r="J152" s="46"/>
      <c r="K152" s="173"/>
      <c r="L152" s="233"/>
      <c r="M152" s="205"/>
      <c r="N152" s="509"/>
      <c r="O152" s="157"/>
      <c r="P152" s="533"/>
    </row>
    <row r="153" spans="1:16" s="17" customFormat="1" ht="12.75">
      <c r="A153" s="108"/>
      <c r="B153" s="109"/>
      <c r="C153" s="110" t="s">
        <v>219</v>
      </c>
      <c r="D153" s="238">
        <f>+E153+M153</f>
        <v>112900</v>
      </c>
      <c r="E153" s="228">
        <f>SUM(F153,I153:L153)</f>
        <v>112900</v>
      </c>
      <c r="F153" s="46">
        <f t="shared" si="19"/>
        <v>0</v>
      </c>
      <c r="G153" s="46"/>
      <c r="H153" s="46"/>
      <c r="I153" s="46"/>
      <c r="J153" s="46">
        <v>112900</v>
      </c>
      <c r="K153" s="173"/>
      <c r="L153" s="233"/>
      <c r="M153" s="205"/>
      <c r="N153" s="509"/>
      <c r="O153" s="157"/>
      <c r="P153" s="533"/>
    </row>
    <row r="154" spans="1:16" s="17" customFormat="1" ht="12.75">
      <c r="A154" s="108"/>
      <c r="B154" s="109"/>
      <c r="C154" s="110" t="s">
        <v>417</v>
      </c>
      <c r="D154" s="238">
        <f>+E154+M154</f>
        <v>607570</v>
      </c>
      <c r="E154" s="228">
        <f>SUM(F154,I154:L154)</f>
        <v>607570</v>
      </c>
      <c r="F154" s="46">
        <f t="shared" si="19"/>
        <v>0</v>
      </c>
      <c r="G154" s="46"/>
      <c r="H154" s="46"/>
      <c r="I154" s="46"/>
      <c r="J154" s="46"/>
      <c r="K154" s="173">
        <v>607570</v>
      </c>
      <c r="L154" s="233"/>
      <c r="M154" s="205"/>
      <c r="N154" s="509"/>
      <c r="O154" s="157"/>
      <c r="P154" s="533"/>
    </row>
    <row r="155" spans="1:16" s="17" customFormat="1" ht="12.75">
      <c r="A155" s="108"/>
      <c r="B155" s="109"/>
      <c r="C155" s="110" t="s">
        <v>374</v>
      </c>
      <c r="D155" s="238"/>
      <c r="E155" s="228">
        <f>SUM(F155,I155:L155)</f>
        <v>0</v>
      </c>
      <c r="F155" s="46"/>
      <c r="G155" s="46"/>
      <c r="H155" s="46"/>
      <c r="I155" s="46"/>
      <c r="J155" s="46"/>
      <c r="K155" s="173"/>
      <c r="L155" s="233"/>
      <c r="M155" s="205"/>
      <c r="N155" s="509"/>
      <c r="O155" s="157"/>
      <c r="P155" s="533"/>
    </row>
    <row r="156" spans="1:16" s="17" customFormat="1" ht="12.75">
      <c r="A156" s="108"/>
      <c r="B156" s="109"/>
      <c r="C156" s="110" t="s">
        <v>258</v>
      </c>
      <c r="D156" s="238">
        <f aca="true" t="shared" si="22" ref="D156:D169">+E156+M156</f>
        <v>139732</v>
      </c>
      <c r="E156" s="228">
        <f>SUM(F156,I156:L156)</f>
        <v>139732</v>
      </c>
      <c r="F156" s="46">
        <f t="shared" si="19"/>
        <v>139732</v>
      </c>
      <c r="G156" s="46"/>
      <c r="H156" s="46">
        <v>139732</v>
      </c>
      <c r="I156" s="46"/>
      <c r="J156" s="46"/>
      <c r="K156" s="173"/>
      <c r="L156" s="233"/>
      <c r="M156" s="205"/>
      <c r="N156" s="509"/>
      <c r="O156" s="157"/>
      <c r="P156" s="533"/>
    </row>
    <row r="157" spans="1:16" s="17" customFormat="1" ht="12.75">
      <c r="A157" s="108"/>
      <c r="B157" s="114">
        <v>80148</v>
      </c>
      <c r="C157" s="103" t="s">
        <v>401</v>
      </c>
      <c r="D157" s="240">
        <f t="shared" si="22"/>
        <v>156902</v>
      </c>
      <c r="E157" s="240">
        <f>SUM(E158:E158)</f>
        <v>156902</v>
      </c>
      <c r="F157" s="97">
        <f>+G157+H157</f>
        <v>154902</v>
      </c>
      <c r="G157" s="97">
        <f>+G158</f>
        <v>137100</v>
      </c>
      <c r="H157" s="97">
        <f>+H158</f>
        <v>17802</v>
      </c>
      <c r="I157" s="97"/>
      <c r="J157" s="97">
        <f>+J158</f>
        <v>2000</v>
      </c>
      <c r="K157" s="177"/>
      <c r="L157" s="220"/>
      <c r="M157" s="211"/>
      <c r="N157" s="509"/>
      <c r="O157" s="157"/>
      <c r="P157" s="533"/>
    </row>
    <row r="158" spans="1:16" s="17" customFormat="1" ht="12.75">
      <c r="A158" s="108"/>
      <c r="B158" s="114"/>
      <c r="C158" s="110" t="s">
        <v>428</v>
      </c>
      <c r="D158" s="238">
        <f>+E158+M158</f>
        <v>156902</v>
      </c>
      <c r="E158" s="228">
        <f>SUM(F158,I158:L158)</f>
        <v>156902</v>
      </c>
      <c r="F158" s="46">
        <f>+G158+H158</f>
        <v>154902</v>
      </c>
      <c r="G158" s="46">
        <f>187100-50000</f>
        <v>137100</v>
      </c>
      <c r="H158" s="46">
        <v>17802</v>
      </c>
      <c r="I158" s="97"/>
      <c r="J158" s="46">
        <v>2000</v>
      </c>
      <c r="K158" s="173"/>
      <c r="L158" s="220"/>
      <c r="M158" s="211"/>
      <c r="N158" s="509"/>
      <c r="O158" s="157"/>
      <c r="P158" s="533"/>
    </row>
    <row r="159" spans="1:16" s="17" customFormat="1" ht="12.75">
      <c r="A159" s="280"/>
      <c r="B159" s="114">
        <v>80197</v>
      </c>
      <c r="C159" s="103" t="s">
        <v>12</v>
      </c>
      <c r="D159" s="240">
        <f t="shared" si="22"/>
        <v>0</v>
      </c>
      <c r="E159" s="240">
        <f>+F159+I159+J159</f>
        <v>0</v>
      </c>
      <c r="F159" s="97">
        <f t="shared" si="19"/>
        <v>0</v>
      </c>
      <c r="G159" s="97"/>
      <c r="H159" s="97">
        <f>+H160</f>
        <v>0</v>
      </c>
      <c r="I159" s="97">
        <f>+I160</f>
        <v>0</v>
      </c>
      <c r="J159" s="97"/>
      <c r="K159" s="177"/>
      <c r="L159" s="220"/>
      <c r="M159" s="211"/>
      <c r="N159" s="509"/>
      <c r="O159" s="157"/>
      <c r="P159" s="533"/>
    </row>
    <row r="160" spans="1:16" s="17" customFormat="1" ht="12.75">
      <c r="A160" s="118"/>
      <c r="B160" s="109"/>
      <c r="C160" s="110" t="s">
        <v>130</v>
      </c>
      <c r="D160" s="238">
        <f t="shared" si="22"/>
        <v>0</v>
      </c>
      <c r="E160" s="238">
        <f>+F160+I160</f>
        <v>0</v>
      </c>
      <c r="F160" s="46">
        <f t="shared" si="19"/>
        <v>0</v>
      </c>
      <c r="G160" s="46"/>
      <c r="H160" s="46"/>
      <c r="I160" s="46">
        <v>0</v>
      </c>
      <c r="J160" s="46"/>
      <c r="K160" s="173"/>
      <c r="L160" s="233"/>
      <c r="M160" s="205"/>
      <c r="N160" s="523"/>
      <c r="O160" s="191"/>
      <c r="P160" s="542"/>
    </row>
    <row r="161" spans="1:17" s="17" customFormat="1" ht="15">
      <c r="A161" s="104">
        <v>851</v>
      </c>
      <c r="B161" s="105"/>
      <c r="C161" s="106" t="s">
        <v>131</v>
      </c>
      <c r="D161" s="236">
        <f t="shared" si="22"/>
        <v>460000</v>
      </c>
      <c r="E161" s="236">
        <f>+E162+E166+E168</f>
        <v>460000</v>
      </c>
      <c r="F161" s="73">
        <f t="shared" si="19"/>
        <v>460000</v>
      </c>
      <c r="G161" s="73">
        <f>+G162+G166+G168</f>
        <v>162800</v>
      </c>
      <c r="H161" s="73">
        <f>H162+H166+H168</f>
        <v>297200</v>
      </c>
      <c r="I161" s="85">
        <f>+I162+I166+I168</f>
        <v>0</v>
      </c>
      <c r="J161" s="85"/>
      <c r="K161" s="457"/>
      <c r="L161" s="232"/>
      <c r="M161" s="215">
        <f>+N161+P161</f>
        <v>0</v>
      </c>
      <c r="N161" s="175">
        <f>+N162+N166+N168</f>
        <v>0</v>
      </c>
      <c r="O161" s="73"/>
      <c r="P161" s="551">
        <f>+P162+P166+P168</f>
        <v>0</v>
      </c>
      <c r="Q161" s="465">
        <f>SUM(I161:L161,F161)-E161</f>
        <v>0</v>
      </c>
    </row>
    <row r="162" spans="1:16" s="17" customFormat="1" ht="12.75">
      <c r="A162" s="108"/>
      <c r="B162" s="81">
        <v>85121</v>
      </c>
      <c r="C162" s="82" t="s">
        <v>132</v>
      </c>
      <c r="D162" s="230">
        <f t="shared" si="22"/>
        <v>120000</v>
      </c>
      <c r="E162" s="230">
        <f>SUM(E163:E163)</f>
        <v>120000</v>
      </c>
      <c r="F162" s="74">
        <f t="shared" si="19"/>
        <v>120000</v>
      </c>
      <c r="G162" s="74">
        <f>+G163</f>
        <v>0</v>
      </c>
      <c r="H162" s="74">
        <f>+H163</f>
        <v>120000</v>
      </c>
      <c r="I162" s="74"/>
      <c r="J162" s="74"/>
      <c r="K162" s="172"/>
      <c r="L162" s="206"/>
      <c r="M162" s="204">
        <f>+N162+P162</f>
        <v>0</v>
      </c>
      <c r="N162" s="513"/>
      <c r="O162" s="184"/>
      <c r="P162" s="537">
        <f>+P164</f>
        <v>0</v>
      </c>
    </row>
    <row r="163" spans="1:16" s="17" customFormat="1" ht="12.75">
      <c r="A163" s="108"/>
      <c r="B163" s="81"/>
      <c r="C163" s="80" t="s">
        <v>221</v>
      </c>
      <c r="D163" s="228">
        <f t="shared" si="22"/>
        <v>120000</v>
      </c>
      <c r="E163" s="228">
        <f>SUM(F163,I163:L163)</f>
        <v>120000</v>
      </c>
      <c r="F163" s="49">
        <f t="shared" si="19"/>
        <v>120000</v>
      </c>
      <c r="G163" s="49"/>
      <c r="H163" s="49">
        <v>120000</v>
      </c>
      <c r="I163" s="74"/>
      <c r="J163" s="74"/>
      <c r="K163" s="172"/>
      <c r="L163" s="206"/>
      <c r="M163" s="204"/>
      <c r="N163" s="513"/>
      <c r="O163" s="184"/>
      <c r="P163" s="550"/>
    </row>
    <row r="164" spans="1:16" s="17" customFormat="1" ht="12.75">
      <c r="A164" s="108"/>
      <c r="B164" s="81"/>
      <c r="C164" s="82" t="s">
        <v>194</v>
      </c>
      <c r="D164" s="254">
        <f>+M164</f>
        <v>0</v>
      </c>
      <c r="E164" s="228"/>
      <c r="F164" s="49">
        <f t="shared" si="19"/>
        <v>0</v>
      </c>
      <c r="G164" s="49"/>
      <c r="H164" s="49"/>
      <c r="I164" s="49"/>
      <c r="J164" s="49"/>
      <c r="K164" s="171"/>
      <c r="L164" s="229"/>
      <c r="M164" s="204">
        <f>+M165</f>
        <v>0</v>
      </c>
      <c r="N164" s="513"/>
      <c r="O164" s="184"/>
      <c r="P164" s="537">
        <f>+P165</f>
        <v>0</v>
      </c>
    </row>
    <row r="165" spans="1:16" s="17" customFormat="1" ht="12.75">
      <c r="A165" s="108"/>
      <c r="B165" s="81"/>
      <c r="C165" s="80" t="s">
        <v>144</v>
      </c>
      <c r="D165" s="228">
        <f>+E165+M165</f>
        <v>0</v>
      </c>
      <c r="E165" s="228"/>
      <c r="F165" s="49">
        <f t="shared" si="19"/>
        <v>0</v>
      </c>
      <c r="G165" s="49"/>
      <c r="H165" s="49"/>
      <c r="I165" s="74"/>
      <c r="J165" s="74"/>
      <c r="K165" s="172"/>
      <c r="L165" s="206"/>
      <c r="M165" s="203">
        <f>+N165+P165</f>
        <v>0</v>
      </c>
      <c r="N165" s="513"/>
      <c r="O165" s="184"/>
      <c r="P165" s="550">
        <v>0</v>
      </c>
    </row>
    <row r="166" spans="1:16" s="17" customFormat="1" ht="12.75">
      <c r="A166" s="108"/>
      <c r="B166" s="81">
        <v>85153</v>
      </c>
      <c r="C166" s="82" t="s">
        <v>138</v>
      </c>
      <c r="D166" s="230">
        <f t="shared" si="22"/>
        <v>40000</v>
      </c>
      <c r="E166" s="230">
        <f>+E167</f>
        <v>40000</v>
      </c>
      <c r="F166" s="74">
        <f t="shared" si="19"/>
        <v>40000</v>
      </c>
      <c r="G166" s="74">
        <f>+G167</f>
        <v>27200</v>
      </c>
      <c r="H166" s="74">
        <f>+H167</f>
        <v>12800</v>
      </c>
      <c r="I166" s="74"/>
      <c r="J166" s="74"/>
      <c r="K166" s="172"/>
      <c r="L166" s="206"/>
      <c r="M166" s="204"/>
      <c r="N166" s="513"/>
      <c r="O166" s="184"/>
      <c r="P166" s="550"/>
    </row>
    <row r="167" spans="1:16" s="17" customFormat="1" ht="12.75" customHeight="1">
      <c r="A167" s="108"/>
      <c r="B167" s="81"/>
      <c r="C167" s="80" t="s">
        <v>192</v>
      </c>
      <c r="D167" s="228">
        <f t="shared" si="22"/>
        <v>40000</v>
      </c>
      <c r="E167" s="228">
        <f>SUM(F167,I167:L167)</f>
        <v>40000</v>
      </c>
      <c r="F167" s="49">
        <f t="shared" si="19"/>
        <v>40000</v>
      </c>
      <c r="G167" s="49">
        <f>45600+600+2000-21000</f>
        <v>27200</v>
      </c>
      <c r="H167" s="49">
        <v>12800</v>
      </c>
      <c r="I167" s="49"/>
      <c r="J167" s="49"/>
      <c r="K167" s="171"/>
      <c r="L167" s="229"/>
      <c r="M167" s="203"/>
      <c r="N167" s="513"/>
      <c r="O167" s="184"/>
      <c r="P167" s="550"/>
    </row>
    <row r="168" spans="1:16" s="17" customFormat="1" ht="12.75">
      <c r="A168" s="108"/>
      <c r="B168" s="81">
        <v>85154</v>
      </c>
      <c r="C168" s="82" t="s">
        <v>139</v>
      </c>
      <c r="D168" s="230">
        <f t="shared" si="22"/>
        <v>300000</v>
      </c>
      <c r="E168" s="230">
        <f>SUM(E169:E169)</f>
        <v>300000</v>
      </c>
      <c r="F168" s="74">
        <f t="shared" si="19"/>
        <v>300000</v>
      </c>
      <c r="G168" s="74">
        <f>+G169</f>
        <v>135600</v>
      </c>
      <c r="H168" s="74">
        <f>+H169</f>
        <v>164400</v>
      </c>
      <c r="I168" s="74"/>
      <c r="J168" s="74"/>
      <c r="K168" s="172"/>
      <c r="L168" s="206"/>
      <c r="M168" s="204"/>
      <c r="N168" s="513"/>
      <c r="O168" s="184"/>
      <c r="P168" s="550"/>
    </row>
    <row r="169" spans="1:16" s="17" customFormat="1" ht="25.5">
      <c r="A169" s="108"/>
      <c r="B169" s="109"/>
      <c r="C169" s="110" t="s">
        <v>193</v>
      </c>
      <c r="D169" s="238">
        <f t="shared" si="22"/>
        <v>300000</v>
      </c>
      <c r="E169" s="228">
        <f>SUM(F169,I169:L169)</f>
        <v>300000</v>
      </c>
      <c r="F169" s="46">
        <f t="shared" si="19"/>
        <v>300000</v>
      </c>
      <c r="G169" s="46">
        <v>135600</v>
      </c>
      <c r="H169" s="46">
        <v>164400</v>
      </c>
      <c r="I169" s="46"/>
      <c r="J169" s="46"/>
      <c r="K169" s="173"/>
      <c r="L169" s="233"/>
      <c r="M169" s="205"/>
      <c r="N169" s="523"/>
      <c r="O169" s="191"/>
      <c r="P169" s="542"/>
    </row>
    <row r="170" spans="1:17" s="17" customFormat="1" ht="15">
      <c r="A170" s="104">
        <v>852</v>
      </c>
      <c r="B170" s="105"/>
      <c r="C170" s="106" t="s">
        <v>140</v>
      </c>
      <c r="D170" s="236">
        <f aca="true" t="shared" si="23" ref="D170:D203">+E170+M170</f>
        <v>3534068</v>
      </c>
      <c r="E170" s="236">
        <f>E171+E173+E174+E175+E176+E177+E179+E181+E183</f>
        <v>3534068</v>
      </c>
      <c r="F170" s="73">
        <f t="shared" si="19"/>
        <v>1782068</v>
      </c>
      <c r="G170" s="73">
        <f>G171+G173+G174+G175+G176+G177+G179+G181+G183</f>
        <v>632764</v>
      </c>
      <c r="H170" s="73">
        <f>H171+H173+H174+H175+H176+H177+H179+H181+H183</f>
        <v>1149304</v>
      </c>
      <c r="I170" s="73"/>
      <c r="J170" s="73">
        <f>+J173+J174+J175+J176+J177+J179+J181+J183</f>
        <v>1752000</v>
      </c>
      <c r="K170" s="175"/>
      <c r="L170" s="209"/>
      <c r="M170" s="214"/>
      <c r="N170" s="521"/>
      <c r="O170" s="197"/>
      <c r="P170" s="548"/>
      <c r="Q170" s="465">
        <f>SUM(I170:L170,F170)-E170</f>
        <v>0</v>
      </c>
    </row>
    <row r="171" spans="1:17" s="17" customFormat="1" ht="12.75">
      <c r="A171" s="108"/>
      <c r="B171" s="81">
        <v>85202</v>
      </c>
      <c r="C171" s="82" t="s">
        <v>141</v>
      </c>
      <c r="D171" s="230">
        <f t="shared" si="23"/>
        <v>288600</v>
      </c>
      <c r="E171" s="230">
        <f>+F171+I171+J171</f>
        <v>288600</v>
      </c>
      <c r="F171" s="74">
        <f t="shared" si="19"/>
        <v>288600</v>
      </c>
      <c r="G171" s="74">
        <f>+G172</f>
        <v>0</v>
      </c>
      <c r="H171" s="74">
        <f>+H172</f>
        <v>288600</v>
      </c>
      <c r="I171" s="74"/>
      <c r="J171" s="74"/>
      <c r="K171" s="172"/>
      <c r="L171" s="206"/>
      <c r="M171" s="204"/>
      <c r="N171" s="509"/>
      <c r="O171" s="157"/>
      <c r="P171" s="533"/>
      <c r="Q171" s="465">
        <f aca="true" t="shared" si="24" ref="Q171:Q184">SUM(I171:L171,F171)-E171</f>
        <v>0</v>
      </c>
    </row>
    <row r="172" spans="1:17" s="17" customFormat="1" ht="12.75">
      <c r="A172" s="108"/>
      <c r="B172" s="79"/>
      <c r="C172" s="80" t="s">
        <v>142</v>
      </c>
      <c r="D172" s="228">
        <f t="shared" si="23"/>
        <v>288600</v>
      </c>
      <c r="E172" s="228">
        <f>SUM(F172,I172:L172)</f>
        <v>288600</v>
      </c>
      <c r="F172" s="49">
        <f t="shared" si="19"/>
        <v>288600</v>
      </c>
      <c r="G172" s="49"/>
      <c r="H172" s="49">
        <v>288600</v>
      </c>
      <c r="I172" s="49"/>
      <c r="J172" s="49"/>
      <c r="K172" s="171"/>
      <c r="L172" s="229"/>
      <c r="M172" s="203"/>
      <c r="N172" s="509"/>
      <c r="O172" s="157"/>
      <c r="P172" s="533"/>
      <c r="Q172" s="465">
        <f t="shared" si="24"/>
        <v>0</v>
      </c>
    </row>
    <row r="173" spans="1:17" s="17" customFormat="1" ht="12.75">
      <c r="A173" s="108"/>
      <c r="B173" s="81">
        <v>85213</v>
      </c>
      <c r="C173" s="82" t="s">
        <v>271</v>
      </c>
      <c r="D173" s="230">
        <f t="shared" si="23"/>
        <v>38600</v>
      </c>
      <c r="E173" s="230">
        <f>SUM(F173,I173:L173)</f>
        <v>38600</v>
      </c>
      <c r="F173" s="74">
        <f t="shared" si="19"/>
        <v>38600</v>
      </c>
      <c r="G173" s="74">
        <f>30200+8400</f>
        <v>38600</v>
      </c>
      <c r="H173" s="74"/>
      <c r="I173" s="74"/>
      <c r="J173" s="74"/>
      <c r="K173" s="172"/>
      <c r="L173" s="206"/>
      <c r="M173" s="204"/>
      <c r="N173" s="509"/>
      <c r="O173" s="157"/>
      <c r="P173" s="533"/>
      <c r="Q173" s="465">
        <f t="shared" si="24"/>
        <v>0</v>
      </c>
    </row>
    <row r="174" spans="1:17" s="17" customFormat="1" ht="12.75">
      <c r="A174" s="108"/>
      <c r="B174" s="81">
        <v>85214</v>
      </c>
      <c r="C174" s="82" t="s">
        <v>160</v>
      </c>
      <c r="D174" s="230">
        <f t="shared" si="23"/>
        <v>510200</v>
      </c>
      <c r="E174" s="230">
        <f>+F174+I174+J174</f>
        <v>510200</v>
      </c>
      <c r="F174" s="74">
        <f t="shared" si="19"/>
        <v>1200</v>
      </c>
      <c r="G174" s="74"/>
      <c r="H174" s="74">
        <v>1200</v>
      </c>
      <c r="I174" s="74"/>
      <c r="J174" s="74">
        <f>389200+121000-1200</f>
        <v>509000</v>
      </c>
      <c r="K174" s="172"/>
      <c r="L174" s="206"/>
      <c r="M174" s="204"/>
      <c r="N174" s="509"/>
      <c r="O174" s="157"/>
      <c r="P174" s="533"/>
      <c r="Q174" s="465">
        <f t="shared" si="24"/>
        <v>0</v>
      </c>
    </row>
    <row r="175" spans="1:17" s="17" customFormat="1" ht="12.75">
      <c r="A175" s="108"/>
      <c r="B175" s="81">
        <v>85215</v>
      </c>
      <c r="C175" s="82" t="s">
        <v>161</v>
      </c>
      <c r="D175" s="230">
        <f t="shared" si="23"/>
        <v>530000</v>
      </c>
      <c r="E175" s="230">
        <f>+F175+I175+J175</f>
        <v>530000</v>
      </c>
      <c r="F175" s="74">
        <f t="shared" si="19"/>
        <v>0</v>
      </c>
      <c r="G175" s="74"/>
      <c r="H175" s="74"/>
      <c r="I175" s="74"/>
      <c r="J175" s="74">
        <v>530000</v>
      </c>
      <c r="K175" s="172"/>
      <c r="L175" s="206"/>
      <c r="M175" s="204"/>
      <c r="N175" s="509"/>
      <c r="O175" s="157"/>
      <c r="P175" s="533"/>
      <c r="Q175" s="465">
        <f t="shared" si="24"/>
        <v>0</v>
      </c>
    </row>
    <row r="176" spans="1:17" s="17" customFormat="1" ht="12.75">
      <c r="A176" s="108"/>
      <c r="B176" s="81">
        <v>85216</v>
      </c>
      <c r="C176" s="82" t="s">
        <v>295</v>
      </c>
      <c r="D176" s="230">
        <f t="shared" si="23"/>
        <v>465000</v>
      </c>
      <c r="E176" s="230">
        <f>+F176+I176+J176</f>
        <v>465000</v>
      </c>
      <c r="F176" s="74">
        <f t="shared" si="19"/>
        <v>0</v>
      </c>
      <c r="G176" s="74"/>
      <c r="H176" s="74"/>
      <c r="I176" s="74"/>
      <c r="J176" s="74">
        <f>86000+379000</f>
        <v>465000</v>
      </c>
      <c r="K176" s="172"/>
      <c r="L176" s="206"/>
      <c r="M176" s="204"/>
      <c r="N176" s="509"/>
      <c r="O176" s="157"/>
      <c r="P176" s="533"/>
      <c r="Q176" s="465">
        <f t="shared" si="24"/>
        <v>0</v>
      </c>
    </row>
    <row r="177" spans="1:17" s="17" customFormat="1" ht="12.75">
      <c r="A177" s="108"/>
      <c r="B177" s="81">
        <v>85219</v>
      </c>
      <c r="C177" s="82" t="s">
        <v>162</v>
      </c>
      <c r="D177" s="230">
        <f t="shared" si="23"/>
        <v>724668</v>
      </c>
      <c r="E177" s="230">
        <f>+E178</f>
        <v>724668</v>
      </c>
      <c r="F177" s="74">
        <f t="shared" si="19"/>
        <v>704668</v>
      </c>
      <c r="G177" s="74">
        <f>+G178</f>
        <v>594164</v>
      </c>
      <c r="H177" s="74">
        <f>+H178</f>
        <v>110504</v>
      </c>
      <c r="I177" s="74"/>
      <c r="J177" s="74">
        <f>+J178</f>
        <v>20000</v>
      </c>
      <c r="K177" s="172"/>
      <c r="L177" s="206"/>
      <c r="M177" s="204"/>
      <c r="N177" s="509"/>
      <c r="O177" s="157"/>
      <c r="P177" s="533"/>
      <c r="Q177" s="465">
        <f t="shared" si="24"/>
        <v>0</v>
      </c>
    </row>
    <row r="178" spans="1:17" s="17" customFormat="1" ht="12.75">
      <c r="A178" s="108"/>
      <c r="B178" s="79"/>
      <c r="C178" s="80" t="s">
        <v>163</v>
      </c>
      <c r="D178" s="228">
        <f t="shared" si="23"/>
        <v>724668</v>
      </c>
      <c r="E178" s="228">
        <f>SUM(F178,I178:L178)</f>
        <v>724668</v>
      </c>
      <c r="F178" s="49">
        <f t="shared" si="19"/>
        <v>704668</v>
      </c>
      <c r="G178" s="49">
        <f>462000+36400+75444+12100+8220</f>
        <v>594164</v>
      </c>
      <c r="H178" s="49">
        <f>724668-G178-J178</f>
        <v>110504</v>
      </c>
      <c r="I178" s="49"/>
      <c r="J178" s="49">
        <v>20000</v>
      </c>
      <c r="K178" s="171"/>
      <c r="L178" s="229"/>
      <c r="M178" s="203"/>
      <c r="N178" s="509"/>
      <c r="O178" s="157"/>
      <c r="P178" s="533"/>
      <c r="Q178" s="465">
        <f t="shared" si="24"/>
        <v>0</v>
      </c>
    </row>
    <row r="179" spans="1:17" s="17" customFormat="1" ht="12.75">
      <c r="A179" s="108"/>
      <c r="B179" s="81">
        <v>85220</v>
      </c>
      <c r="C179" s="82" t="s">
        <v>225</v>
      </c>
      <c r="D179" s="230">
        <f t="shared" si="23"/>
        <v>9000</v>
      </c>
      <c r="E179" s="230">
        <f>+F179+I179+J179</f>
        <v>9000</v>
      </c>
      <c r="F179" s="74">
        <f t="shared" si="19"/>
        <v>9000</v>
      </c>
      <c r="G179" s="74">
        <f>+G180</f>
        <v>0</v>
      </c>
      <c r="H179" s="74">
        <f>+H180</f>
        <v>9000</v>
      </c>
      <c r="I179" s="74"/>
      <c r="J179" s="74"/>
      <c r="K179" s="172"/>
      <c r="L179" s="206"/>
      <c r="M179" s="204"/>
      <c r="N179" s="509"/>
      <c r="O179" s="157"/>
      <c r="P179" s="533"/>
      <c r="Q179" s="465">
        <f t="shared" si="24"/>
        <v>0</v>
      </c>
    </row>
    <row r="180" spans="1:17" s="17" customFormat="1" ht="12.75">
      <c r="A180" s="108"/>
      <c r="B180" s="79"/>
      <c r="C180" s="80" t="s">
        <v>226</v>
      </c>
      <c r="D180" s="228">
        <f t="shared" si="23"/>
        <v>9000</v>
      </c>
      <c r="E180" s="228">
        <f>SUM(F180,I180:L180)</f>
        <v>9000</v>
      </c>
      <c r="F180" s="49">
        <f t="shared" si="19"/>
        <v>9000</v>
      </c>
      <c r="G180" s="49"/>
      <c r="H180" s="49">
        <v>9000</v>
      </c>
      <c r="I180" s="49"/>
      <c r="J180" s="49"/>
      <c r="K180" s="171"/>
      <c r="L180" s="229"/>
      <c r="M180" s="203"/>
      <c r="N180" s="509"/>
      <c r="O180" s="157"/>
      <c r="P180" s="533"/>
      <c r="Q180" s="465">
        <f t="shared" si="24"/>
        <v>0</v>
      </c>
    </row>
    <row r="181" spans="1:17" s="17" customFormat="1" ht="12.75">
      <c r="A181" s="108"/>
      <c r="B181" s="81">
        <v>85228</v>
      </c>
      <c r="C181" s="82" t="s">
        <v>164</v>
      </c>
      <c r="D181" s="230">
        <f t="shared" si="23"/>
        <v>740000</v>
      </c>
      <c r="E181" s="230">
        <f>+F181+I181+J181</f>
        <v>740000</v>
      </c>
      <c r="F181" s="74">
        <f t="shared" si="19"/>
        <v>740000</v>
      </c>
      <c r="G181" s="74"/>
      <c r="H181" s="74">
        <f>+H182</f>
        <v>740000</v>
      </c>
      <c r="I181" s="74"/>
      <c r="J181" s="74"/>
      <c r="K181" s="172"/>
      <c r="L181" s="206"/>
      <c r="M181" s="204"/>
      <c r="N181" s="509"/>
      <c r="O181" s="157"/>
      <c r="P181" s="533"/>
      <c r="Q181" s="465">
        <f t="shared" si="24"/>
        <v>0</v>
      </c>
    </row>
    <row r="182" spans="1:17" s="17" customFormat="1" ht="12.75">
      <c r="A182" s="108"/>
      <c r="B182" s="79"/>
      <c r="C182" s="80" t="s">
        <v>165</v>
      </c>
      <c r="D182" s="228">
        <f t="shared" si="23"/>
        <v>740000</v>
      </c>
      <c r="E182" s="228">
        <f>SUM(F182,I182:L182)</f>
        <v>740000</v>
      </c>
      <c r="F182" s="49">
        <f t="shared" si="19"/>
        <v>740000</v>
      </c>
      <c r="G182" s="49"/>
      <c r="H182" s="49">
        <f>901723-161723</f>
        <v>740000</v>
      </c>
      <c r="I182" s="49"/>
      <c r="J182" s="49"/>
      <c r="K182" s="171"/>
      <c r="L182" s="229"/>
      <c r="M182" s="203"/>
      <c r="N182" s="509"/>
      <c r="O182" s="157"/>
      <c r="P182" s="533"/>
      <c r="Q182" s="465">
        <f t="shared" si="24"/>
        <v>0</v>
      </c>
    </row>
    <row r="183" spans="1:17" s="17" customFormat="1" ht="12.75">
      <c r="A183" s="108"/>
      <c r="B183" s="81">
        <v>85295</v>
      </c>
      <c r="C183" s="82" t="s">
        <v>88</v>
      </c>
      <c r="D183" s="230">
        <f t="shared" si="23"/>
        <v>228000</v>
      </c>
      <c r="E183" s="230">
        <f>+F183+J183</f>
        <v>228000</v>
      </c>
      <c r="F183" s="74">
        <f t="shared" si="19"/>
        <v>0</v>
      </c>
      <c r="G183" s="74"/>
      <c r="H183" s="74"/>
      <c r="I183" s="74"/>
      <c r="J183" s="74">
        <f>+J184</f>
        <v>228000</v>
      </c>
      <c r="K183" s="172"/>
      <c r="L183" s="206"/>
      <c r="M183" s="204"/>
      <c r="N183" s="509"/>
      <c r="O183" s="157"/>
      <c r="P183" s="533"/>
      <c r="Q183" s="465">
        <f t="shared" si="24"/>
        <v>0</v>
      </c>
    </row>
    <row r="184" spans="1:17" s="17" customFormat="1" ht="12.75">
      <c r="A184" s="108"/>
      <c r="B184" s="109"/>
      <c r="C184" s="110" t="s">
        <v>166</v>
      </c>
      <c r="D184" s="238">
        <f t="shared" si="23"/>
        <v>228000</v>
      </c>
      <c r="E184" s="238">
        <f>SUM(F184,I184:L184)</f>
        <v>228000</v>
      </c>
      <c r="F184" s="46">
        <f t="shared" si="19"/>
        <v>0</v>
      </c>
      <c r="G184" s="46"/>
      <c r="H184" s="46"/>
      <c r="I184" s="46"/>
      <c r="J184" s="46">
        <f>175000+53000</f>
        <v>228000</v>
      </c>
      <c r="K184" s="173"/>
      <c r="L184" s="233"/>
      <c r="M184" s="205"/>
      <c r="N184" s="523"/>
      <c r="O184" s="191"/>
      <c r="P184" s="542"/>
      <c r="Q184" s="465">
        <f t="shared" si="24"/>
        <v>0</v>
      </c>
    </row>
    <row r="185" spans="1:17" s="17" customFormat="1" ht="15">
      <c r="A185" s="104">
        <v>854</v>
      </c>
      <c r="B185" s="105"/>
      <c r="C185" s="106" t="s">
        <v>145</v>
      </c>
      <c r="D185" s="236">
        <f t="shared" si="23"/>
        <v>646933</v>
      </c>
      <c r="E185" s="236">
        <f>+E186+E194+E197</f>
        <v>646933</v>
      </c>
      <c r="F185" s="73">
        <f t="shared" si="19"/>
        <v>633323</v>
      </c>
      <c r="G185" s="73">
        <f>+G186+G194+G197</f>
        <v>540670</v>
      </c>
      <c r="H185" s="73">
        <f>+H186+H194+H197</f>
        <v>92653</v>
      </c>
      <c r="I185" s="73">
        <f>+I186+I194+I197</f>
        <v>0</v>
      </c>
      <c r="J185" s="73">
        <f>+J186+J194+J197</f>
        <v>13610</v>
      </c>
      <c r="K185" s="175"/>
      <c r="L185" s="244"/>
      <c r="M185" s="214"/>
      <c r="N185" s="521"/>
      <c r="O185" s="197"/>
      <c r="P185" s="548"/>
      <c r="Q185" s="465">
        <f>SUM(I185:L185,F185)-E185</f>
        <v>0</v>
      </c>
    </row>
    <row r="186" spans="1:16" s="17" customFormat="1" ht="12.75">
      <c r="A186" s="280"/>
      <c r="B186" s="81">
        <v>85401</v>
      </c>
      <c r="C186" s="82" t="s">
        <v>146</v>
      </c>
      <c r="D186" s="230">
        <f t="shared" si="23"/>
        <v>562933</v>
      </c>
      <c r="E186" s="230">
        <f>+F186+I186+J186</f>
        <v>562933</v>
      </c>
      <c r="F186" s="74">
        <f t="shared" si="19"/>
        <v>549323</v>
      </c>
      <c r="G186" s="74">
        <f>SUM(G188:G193)</f>
        <v>515670</v>
      </c>
      <c r="H186" s="74">
        <f>SUM(H188:H193)</f>
        <v>33653</v>
      </c>
      <c r="I186" s="74">
        <f>SUM(I188:I193)</f>
        <v>0</v>
      </c>
      <c r="J186" s="74">
        <f>SUM(J188:J193)</f>
        <v>13610</v>
      </c>
      <c r="K186" s="172"/>
      <c r="L186" s="206"/>
      <c r="M186" s="204"/>
      <c r="N186" s="509"/>
      <c r="O186" s="157"/>
      <c r="P186" s="533"/>
    </row>
    <row r="187" spans="1:16" s="17" customFormat="1" ht="12.75">
      <c r="A187" s="108"/>
      <c r="B187" s="79"/>
      <c r="C187" s="80" t="s">
        <v>120</v>
      </c>
      <c r="D187" s="228"/>
      <c r="E187" s="228"/>
      <c r="F187" s="49">
        <f t="shared" si="19"/>
        <v>0</v>
      </c>
      <c r="G187" s="49"/>
      <c r="H187" s="49"/>
      <c r="I187" s="49"/>
      <c r="J187" s="49"/>
      <c r="K187" s="171"/>
      <c r="L187" s="229"/>
      <c r="M187" s="203"/>
      <c r="N187" s="509"/>
      <c r="O187" s="157"/>
      <c r="P187" s="533"/>
    </row>
    <row r="188" spans="1:16" s="17" customFormat="1" ht="12.75">
      <c r="A188" s="108"/>
      <c r="B188" s="79"/>
      <c r="C188" s="71" t="s">
        <v>147</v>
      </c>
      <c r="D188" s="246">
        <f t="shared" si="23"/>
        <v>31238</v>
      </c>
      <c r="E188" s="228">
        <f aca="true" t="shared" si="25" ref="E188:E193">SUM(F188,I188:L188)</f>
        <v>31238</v>
      </c>
      <c r="F188" s="72">
        <f t="shared" si="19"/>
        <v>31170</v>
      </c>
      <c r="G188" s="49">
        <v>29600</v>
      </c>
      <c r="H188" s="49">
        <f>31238-G188-J188</f>
        <v>1570</v>
      </c>
      <c r="I188" s="49"/>
      <c r="J188" s="49">
        <v>68</v>
      </c>
      <c r="K188" s="171"/>
      <c r="L188" s="229"/>
      <c r="M188" s="203"/>
      <c r="N188" s="509"/>
      <c r="O188" s="157"/>
      <c r="P188" s="533"/>
    </row>
    <row r="189" spans="1:16" s="17" customFormat="1" ht="12.75">
      <c r="A189" s="108"/>
      <c r="B189" s="79"/>
      <c r="C189" s="71" t="s">
        <v>148</v>
      </c>
      <c r="D189" s="246">
        <f t="shared" si="23"/>
        <v>101326</v>
      </c>
      <c r="E189" s="228">
        <f t="shared" si="25"/>
        <v>101326</v>
      </c>
      <c r="F189" s="72">
        <f t="shared" si="19"/>
        <v>93401</v>
      </c>
      <c r="G189" s="49">
        <v>87350</v>
      </c>
      <c r="H189" s="49">
        <f>101326-G189-J189</f>
        <v>6051</v>
      </c>
      <c r="I189" s="49"/>
      <c r="J189" s="49">
        <v>7925</v>
      </c>
      <c r="K189" s="171"/>
      <c r="L189" s="229"/>
      <c r="M189" s="203"/>
      <c r="N189" s="509"/>
      <c r="O189" s="157"/>
      <c r="P189" s="533"/>
    </row>
    <row r="190" spans="1:16" s="17" customFormat="1" ht="12.75">
      <c r="A190" s="108"/>
      <c r="B190" s="79"/>
      <c r="C190" s="71" t="s">
        <v>149</v>
      </c>
      <c r="D190" s="246">
        <f t="shared" si="23"/>
        <v>129021</v>
      </c>
      <c r="E190" s="228">
        <f t="shared" si="25"/>
        <v>129021</v>
      </c>
      <c r="F190" s="72">
        <f t="shared" si="19"/>
        <v>128734</v>
      </c>
      <c r="G190" s="49">
        <v>121050</v>
      </c>
      <c r="H190" s="49">
        <f>129021-G190-J190</f>
        <v>7684</v>
      </c>
      <c r="I190" s="49"/>
      <c r="J190" s="49">
        <v>287</v>
      </c>
      <c r="K190" s="171"/>
      <c r="L190" s="229"/>
      <c r="M190" s="203"/>
      <c r="N190" s="509"/>
      <c r="O190" s="157"/>
      <c r="P190" s="533"/>
    </row>
    <row r="191" spans="1:16" s="17" customFormat="1" ht="12.75">
      <c r="A191" s="108"/>
      <c r="B191" s="79"/>
      <c r="C191" s="71" t="s">
        <v>150</v>
      </c>
      <c r="D191" s="246">
        <f t="shared" si="23"/>
        <v>196437</v>
      </c>
      <c r="E191" s="228">
        <f t="shared" si="25"/>
        <v>196437</v>
      </c>
      <c r="F191" s="72">
        <f t="shared" si="19"/>
        <v>196019</v>
      </c>
      <c r="G191" s="49">
        <v>185100</v>
      </c>
      <c r="H191" s="49">
        <f>196437-G191-J191</f>
        <v>10919</v>
      </c>
      <c r="I191" s="49"/>
      <c r="J191" s="49">
        <v>418</v>
      </c>
      <c r="K191" s="171"/>
      <c r="L191" s="229"/>
      <c r="M191" s="203"/>
      <c r="N191" s="509"/>
      <c r="O191" s="157"/>
      <c r="P191" s="533"/>
    </row>
    <row r="192" spans="1:16" s="17" customFormat="1" ht="12.75">
      <c r="A192" s="108"/>
      <c r="B192" s="79"/>
      <c r="C192" s="71" t="s">
        <v>151</v>
      </c>
      <c r="D192" s="246">
        <f t="shared" si="23"/>
        <v>75797</v>
      </c>
      <c r="E192" s="228">
        <f t="shared" si="25"/>
        <v>75797</v>
      </c>
      <c r="F192" s="72">
        <f t="shared" si="19"/>
        <v>72843</v>
      </c>
      <c r="G192" s="49">
        <v>66950</v>
      </c>
      <c r="H192" s="49">
        <f>75797-G192-J192</f>
        <v>5893</v>
      </c>
      <c r="I192" s="49"/>
      <c r="J192" s="49">
        <v>2954</v>
      </c>
      <c r="K192" s="171"/>
      <c r="L192" s="229"/>
      <c r="M192" s="203"/>
      <c r="N192" s="509"/>
      <c r="O192" s="157"/>
      <c r="P192" s="533"/>
    </row>
    <row r="193" spans="1:16" s="17" customFormat="1" ht="12.75">
      <c r="A193" s="108"/>
      <c r="B193" s="119"/>
      <c r="C193" s="120" t="s">
        <v>152</v>
      </c>
      <c r="D193" s="479">
        <f t="shared" si="23"/>
        <v>29114</v>
      </c>
      <c r="E193" s="238">
        <f t="shared" si="25"/>
        <v>29114</v>
      </c>
      <c r="F193" s="480">
        <f t="shared" si="19"/>
        <v>27156</v>
      </c>
      <c r="G193" s="66">
        <v>25620</v>
      </c>
      <c r="H193" s="49">
        <f>29114-G193-J193</f>
        <v>1536</v>
      </c>
      <c r="I193" s="66"/>
      <c r="J193" s="66">
        <v>1958</v>
      </c>
      <c r="K193" s="180"/>
      <c r="L193" s="249"/>
      <c r="M193" s="218"/>
      <c r="N193" s="510"/>
      <c r="O193" s="198"/>
      <c r="P193" s="534"/>
    </row>
    <row r="194" spans="1:16" s="17" customFormat="1" ht="25.5">
      <c r="A194" s="108"/>
      <c r="B194" s="114">
        <v>85412</v>
      </c>
      <c r="C194" s="112" t="s">
        <v>153</v>
      </c>
      <c r="D194" s="481">
        <f t="shared" si="23"/>
        <v>75000</v>
      </c>
      <c r="E194" s="481">
        <f>+F194+I194+J194</f>
        <v>75000</v>
      </c>
      <c r="F194" s="482">
        <f t="shared" si="19"/>
        <v>75000</v>
      </c>
      <c r="G194" s="482">
        <f>+G195</f>
        <v>25000</v>
      </c>
      <c r="H194" s="97">
        <f>+H195</f>
        <v>50000</v>
      </c>
      <c r="I194" s="107"/>
      <c r="J194" s="107"/>
      <c r="K194" s="179"/>
      <c r="L194" s="244"/>
      <c r="M194" s="214"/>
      <c r="N194" s="521"/>
      <c r="O194" s="197"/>
      <c r="P194" s="548"/>
    </row>
    <row r="195" spans="1:16" s="17" customFormat="1" ht="12.75">
      <c r="A195" s="108"/>
      <c r="B195" s="109"/>
      <c r="C195" s="110" t="s">
        <v>154</v>
      </c>
      <c r="D195" s="238">
        <f t="shared" si="23"/>
        <v>75000</v>
      </c>
      <c r="E195" s="228">
        <f>SUM(F195,I195:L195)</f>
        <v>75000</v>
      </c>
      <c r="F195" s="46">
        <f t="shared" si="19"/>
        <v>75000</v>
      </c>
      <c r="G195" s="46">
        <v>25000</v>
      </c>
      <c r="H195" s="46">
        <v>50000</v>
      </c>
      <c r="I195" s="46"/>
      <c r="J195" s="46"/>
      <c r="K195" s="173"/>
      <c r="L195" s="233"/>
      <c r="M195" s="205"/>
      <c r="N195" s="509"/>
      <c r="O195" s="157"/>
      <c r="P195" s="533"/>
    </row>
    <row r="196" spans="1:16" s="17" customFormat="1" ht="12.75">
      <c r="A196" s="108"/>
      <c r="B196" s="114">
        <v>85415</v>
      </c>
      <c r="C196" s="103" t="s">
        <v>375</v>
      </c>
      <c r="D196" s="240"/>
      <c r="E196" s="240"/>
      <c r="F196" s="97"/>
      <c r="G196" s="97"/>
      <c r="H196" s="97"/>
      <c r="I196" s="97"/>
      <c r="J196" s="97"/>
      <c r="K196" s="177"/>
      <c r="L196" s="220"/>
      <c r="M196" s="211"/>
      <c r="N196" s="514"/>
      <c r="O196" s="186"/>
      <c r="P196" s="536"/>
    </row>
    <row r="197" spans="1:16" s="17" customFormat="1" ht="12.75">
      <c r="A197" s="108"/>
      <c r="B197" s="114">
        <v>85495</v>
      </c>
      <c r="C197" s="103" t="s">
        <v>88</v>
      </c>
      <c r="D197" s="240">
        <f t="shared" si="23"/>
        <v>9000</v>
      </c>
      <c r="E197" s="240">
        <f>+F197</f>
        <v>9000</v>
      </c>
      <c r="F197" s="97">
        <f aca="true" t="shared" si="26" ref="F197:F228">+G197+H197</f>
        <v>9000</v>
      </c>
      <c r="G197" s="97">
        <f>+G198</f>
        <v>0</v>
      </c>
      <c r="H197" s="97">
        <f>+H198</f>
        <v>9000</v>
      </c>
      <c r="I197" s="97"/>
      <c r="J197" s="97"/>
      <c r="K197" s="177"/>
      <c r="L197" s="220"/>
      <c r="M197" s="211"/>
      <c r="N197" s="509"/>
      <c r="O197" s="157"/>
      <c r="P197" s="533"/>
    </row>
    <row r="198" spans="1:16" s="17" customFormat="1" ht="12.75">
      <c r="A198" s="118"/>
      <c r="B198" s="121"/>
      <c r="C198" s="122" t="s">
        <v>187</v>
      </c>
      <c r="D198" s="250">
        <f t="shared" si="23"/>
        <v>9000</v>
      </c>
      <c r="E198" s="228">
        <f>SUM(F198,I198:L198)</f>
        <v>9000</v>
      </c>
      <c r="F198" s="47">
        <f t="shared" si="26"/>
        <v>9000</v>
      </c>
      <c r="G198" s="47"/>
      <c r="H198" s="47">
        <v>9000</v>
      </c>
      <c r="I198" s="47"/>
      <c r="J198" s="47"/>
      <c r="K198" s="458"/>
      <c r="L198" s="251"/>
      <c r="M198" s="219"/>
      <c r="N198" s="510"/>
      <c r="O198" s="198"/>
      <c r="P198" s="534"/>
    </row>
    <row r="199" spans="1:17" s="17" customFormat="1" ht="15">
      <c r="A199" s="104">
        <v>900</v>
      </c>
      <c r="B199" s="105"/>
      <c r="C199" s="106" t="s">
        <v>155</v>
      </c>
      <c r="D199" s="236">
        <f t="shared" si="23"/>
        <v>5717500</v>
      </c>
      <c r="E199" s="236">
        <f>+E200+E208+E209+E211+E213+E218</f>
        <v>2748500</v>
      </c>
      <c r="F199" s="73">
        <f t="shared" si="26"/>
        <v>2748500</v>
      </c>
      <c r="G199" s="73">
        <f>+G200+G208+G209+G211+G213+G218</f>
        <v>85000</v>
      </c>
      <c r="H199" s="73">
        <f>+H200+H208+H209+H211+H213+H218</f>
        <v>2663500</v>
      </c>
      <c r="I199" s="73"/>
      <c r="J199" s="73"/>
      <c r="K199" s="175"/>
      <c r="L199" s="209"/>
      <c r="M199" s="208">
        <f>+M200+M206+M208+M209+M211+M213+M218</f>
        <v>2969000</v>
      </c>
      <c r="N199" s="175">
        <f>+N200+N208+N209+N211+N213+N218</f>
        <v>1700000</v>
      </c>
      <c r="O199" s="73">
        <f>+O200+O206+O208+O209+O211+O213+O218</f>
        <v>1100000</v>
      </c>
      <c r="P199" s="539">
        <f>+P200+P206+P208+P209+P211+P213+P218</f>
        <v>1269000</v>
      </c>
      <c r="Q199" s="465">
        <f>SUM(I199:L199,F199)-E199</f>
        <v>0</v>
      </c>
    </row>
    <row r="200" spans="1:17" s="17" customFormat="1" ht="12.75">
      <c r="A200" s="108"/>
      <c r="B200" s="81">
        <v>90001</v>
      </c>
      <c r="C200" s="82" t="s">
        <v>156</v>
      </c>
      <c r="D200" s="230">
        <f t="shared" si="23"/>
        <v>880000</v>
      </c>
      <c r="E200" s="230">
        <f>SUM(E201:E203)</f>
        <v>180000</v>
      </c>
      <c r="F200" s="74">
        <f t="shared" si="26"/>
        <v>180000</v>
      </c>
      <c r="G200" s="74">
        <f>SUM(G201:G203)</f>
        <v>0</v>
      </c>
      <c r="H200" s="74">
        <f>SUM(H201:H203)</f>
        <v>180000</v>
      </c>
      <c r="I200" s="74"/>
      <c r="J200" s="74"/>
      <c r="K200" s="172"/>
      <c r="L200" s="206"/>
      <c r="M200" s="204">
        <f>+M204</f>
        <v>700000</v>
      </c>
      <c r="N200" s="172">
        <f>+N204</f>
        <v>700000</v>
      </c>
      <c r="O200" s="74">
        <f>+N200</f>
        <v>700000</v>
      </c>
      <c r="P200" s="550">
        <f>+P204</f>
        <v>0</v>
      </c>
      <c r="Q200" s="465">
        <f aca="true" t="shared" si="27" ref="Q200:Q222">SUM(I200:L200,F200)-E200</f>
        <v>0</v>
      </c>
    </row>
    <row r="201" spans="1:17" s="17" customFormat="1" ht="12.75">
      <c r="A201" s="108"/>
      <c r="B201" s="79"/>
      <c r="C201" s="80" t="s">
        <v>157</v>
      </c>
      <c r="D201" s="228">
        <f t="shared" si="23"/>
        <v>50000</v>
      </c>
      <c r="E201" s="228">
        <f>SUM(F201,I201:L201)</f>
        <v>50000</v>
      </c>
      <c r="F201" s="49">
        <f t="shared" si="26"/>
        <v>50000</v>
      </c>
      <c r="G201" s="49"/>
      <c r="H201" s="49">
        <f>100000-50000</f>
        <v>50000</v>
      </c>
      <c r="I201" s="49"/>
      <c r="J201" s="49"/>
      <c r="K201" s="171"/>
      <c r="L201" s="229"/>
      <c r="M201" s="203"/>
      <c r="N201" s="509"/>
      <c r="O201" s="157"/>
      <c r="P201" s="533"/>
      <c r="Q201" s="465">
        <f t="shared" si="27"/>
        <v>0</v>
      </c>
    </row>
    <row r="202" spans="1:17" s="17" customFormat="1" ht="12.75">
      <c r="A202" s="108"/>
      <c r="B202" s="79"/>
      <c r="C202" s="80" t="s">
        <v>158</v>
      </c>
      <c r="D202" s="228">
        <f t="shared" si="23"/>
        <v>50000</v>
      </c>
      <c r="E202" s="228">
        <f>SUM(F202,I202:L202)</f>
        <v>50000</v>
      </c>
      <c r="F202" s="49">
        <f t="shared" si="26"/>
        <v>50000</v>
      </c>
      <c r="G202" s="49"/>
      <c r="H202" s="49">
        <f>80000-30000</f>
        <v>50000</v>
      </c>
      <c r="I202" s="49"/>
      <c r="J202" s="49"/>
      <c r="K202" s="171"/>
      <c r="L202" s="229"/>
      <c r="M202" s="203"/>
      <c r="N202" s="509"/>
      <c r="O202" s="157"/>
      <c r="P202" s="533"/>
      <c r="Q202" s="465">
        <f t="shared" si="27"/>
        <v>0</v>
      </c>
    </row>
    <row r="203" spans="1:17" s="17" customFormat="1" ht="12.75">
      <c r="A203" s="108"/>
      <c r="B203" s="79"/>
      <c r="C203" s="80" t="s">
        <v>159</v>
      </c>
      <c r="D203" s="228">
        <f t="shared" si="23"/>
        <v>80000</v>
      </c>
      <c r="E203" s="228">
        <f>SUM(F203,I203:L203)</f>
        <v>80000</v>
      </c>
      <c r="F203" s="49">
        <f t="shared" si="26"/>
        <v>80000</v>
      </c>
      <c r="G203" s="49"/>
      <c r="H203" s="49">
        <v>80000</v>
      </c>
      <c r="I203" s="49"/>
      <c r="J203" s="49"/>
      <c r="K203" s="171"/>
      <c r="L203" s="229"/>
      <c r="M203" s="203"/>
      <c r="N203" s="509"/>
      <c r="O203" s="157"/>
      <c r="P203" s="533"/>
      <c r="Q203" s="465">
        <f t="shared" si="27"/>
        <v>0</v>
      </c>
    </row>
    <row r="204" spans="1:17" s="17" customFormat="1" ht="12.75">
      <c r="A204" s="108"/>
      <c r="B204" s="79"/>
      <c r="C204" s="82" t="s">
        <v>194</v>
      </c>
      <c r="D204" s="254">
        <f>SUM(D205:D205)</f>
        <v>700000</v>
      </c>
      <c r="E204" s="228"/>
      <c r="F204" s="49">
        <f t="shared" si="26"/>
        <v>0</v>
      </c>
      <c r="G204" s="49"/>
      <c r="H204" s="49"/>
      <c r="I204" s="49"/>
      <c r="J204" s="49"/>
      <c r="K204" s="171"/>
      <c r="L204" s="229"/>
      <c r="M204" s="204">
        <f>SUM(M205:M205)</f>
        <v>700000</v>
      </c>
      <c r="N204" s="172">
        <f>SUM(N205:N207)</f>
        <v>700000</v>
      </c>
      <c r="O204" s="172">
        <f>SUM(O205:O207)</f>
        <v>700000</v>
      </c>
      <c r="P204" s="538">
        <f>SUM(P205:P205)</f>
        <v>0</v>
      </c>
      <c r="Q204" s="465">
        <f t="shared" si="27"/>
        <v>0</v>
      </c>
    </row>
    <row r="205" spans="1:17" s="17" customFormat="1" ht="25.5">
      <c r="A205" s="108"/>
      <c r="B205" s="79"/>
      <c r="C205" s="123" t="s">
        <v>292</v>
      </c>
      <c r="D205" s="234">
        <f>+E205+M205</f>
        <v>700000</v>
      </c>
      <c r="E205" s="234"/>
      <c r="F205" s="88">
        <f t="shared" si="26"/>
        <v>0</v>
      </c>
      <c r="G205" s="88"/>
      <c r="H205" s="88"/>
      <c r="I205" s="88"/>
      <c r="J205" s="88"/>
      <c r="K205" s="174"/>
      <c r="L205" s="235"/>
      <c r="M205" s="207">
        <f>+N205+P205</f>
        <v>700000</v>
      </c>
      <c r="N205" s="524">
        <v>700000</v>
      </c>
      <c r="O205" s="188">
        <f>+N205</f>
        <v>700000</v>
      </c>
      <c r="P205" s="552"/>
      <c r="Q205" s="465">
        <f t="shared" si="27"/>
        <v>0</v>
      </c>
    </row>
    <row r="206" spans="1:17" s="17" customFormat="1" ht="12.75">
      <c r="A206" s="108"/>
      <c r="B206" s="81">
        <v>90002</v>
      </c>
      <c r="C206" s="506" t="s">
        <v>435</v>
      </c>
      <c r="D206" s="255">
        <f>+D207</f>
        <v>1269000</v>
      </c>
      <c r="E206" s="255"/>
      <c r="F206" s="124"/>
      <c r="G206" s="124"/>
      <c r="H206" s="124"/>
      <c r="I206" s="124"/>
      <c r="J206" s="124"/>
      <c r="K206" s="507"/>
      <c r="L206" s="508"/>
      <c r="M206" s="204">
        <f>SUM(M207:M207)</f>
        <v>1269000</v>
      </c>
      <c r="N206" s="172">
        <f>SUM(N207:N207)</f>
        <v>0</v>
      </c>
      <c r="O206" s="74">
        <f>SUM(O207:O207)</f>
        <v>0</v>
      </c>
      <c r="P206" s="538">
        <f>SUM(P207:P207)</f>
        <v>1269000</v>
      </c>
      <c r="Q206" s="465"/>
    </row>
    <row r="207" spans="1:17" s="17" customFormat="1" ht="12.75">
      <c r="A207" s="108"/>
      <c r="B207" s="79"/>
      <c r="C207" s="123" t="s">
        <v>429</v>
      </c>
      <c r="D207" s="234">
        <f>+E207+M207</f>
        <v>1269000</v>
      </c>
      <c r="E207" s="234"/>
      <c r="F207" s="88"/>
      <c r="G207" s="88"/>
      <c r="H207" s="88"/>
      <c r="I207" s="88"/>
      <c r="J207" s="88"/>
      <c r="K207" s="174"/>
      <c r="L207" s="235"/>
      <c r="M207" s="207">
        <f>+N207+P207</f>
        <v>1269000</v>
      </c>
      <c r="N207" s="524"/>
      <c r="O207" s="188"/>
      <c r="P207" s="553">
        <v>1269000</v>
      </c>
      <c r="Q207" s="465">
        <f t="shared" si="27"/>
        <v>0</v>
      </c>
    </row>
    <row r="208" spans="1:17" s="17" customFormat="1" ht="12.75">
      <c r="A208" s="108"/>
      <c r="B208" s="81">
        <v>90003</v>
      </c>
      <c r="C208" s="82" t="s">
        <v>167</v>
      </c>
      <c r="D208" s="230">
        <f>+E208+M208</f>
        <v>380000</v>
      </c>
      <c r="E208" s="230">
        <f>+F208+I208+J208+K208+L208</f>
        <v>380000</v>
      </c>
      <c r="F208" s="74">
        <f t="shared" si="26"/>
        <v>380000</v>
      </c>
      <c r="G208" s="74"/>
      <c r="H208" s="74">
        <v>380000</v>
      </c>
      <c r="I208" s="74"/>
      <c r="J208" s="74"/>
      <c r="K208" s="172"/>
      <c r="L208" s="206"/>
      <c r="M208" s="204"/>
      <c r="N208" s="513"/>
      <c r="O208" s="184"/>
      <c r="P208" s="533"/>
      <c r="Q208" s="465">
        <f t="shared" si="27"/>
        <v>0</v>
      </c>
    </row>
    <row r="209" spans="1:17" s="17" customFormat="1" ht="12.75">
      <c r="A209" s="108"/>
      <c r="B209" s="81">
        <v>90004</v>
      </c>
      <c r="C209" s="82" t="s">
        <v>168</v>
      </c>
      <c r="D209" s="230">
        <f>+E209+M209</f>
        <v>320000</v>
      </c>
      <c r="E209" s="230">
        <f>+E210</f>
        <v>320000</v>
      </c>
      <c r="F209" s="74">
        <f t="shared" si="26"/>
        <v>320000</v>
      </c>
      <c r="G209" s="74">
        <f>+G210</f>
        <v>0</v>
      </c>
      <c r="H209" s="74">
        <f>+H210</f>
        <v>320000</v>
      </c>
      <c r="I209" s="74"/>
      <c r="J209" s="74"/>
      <c r="K209" s="172"/>
      <c r="L209" s="206"/>
      <c r="M209" s="204"/>
      <c r="N209" s="513"/>
      <c r="O209" s="184"/>
      <c r="P209" s="533"/>
      <c r="Q209" s="465">
        <f t="shared" si="27"/>
        <v>0</v>
      </c>
    </row>
    <row r="210" spans="1:17" s="17" customFormat="1" ht="12.75">
      <c r="A210" s="108"/>
      <c r="B210" s="81"/>
      <c r="C210" s="80" t="s">
        <v>247</v>
      </c>
      <c r="D210" s="230">
        <f>+E210</f>
        <v>320000</v>
      </c>
      <c r="E210" s="228">
        <f>SUM(F210,I210:L210)</f>
        <v>320000</v>
      </c>
      <c r="F210" s="49">
        <f t="shared" si="26"/>
        <v>320000</v>
      </c>
      <c r="G210" s="49"/>
      <c r="H210" s="49">
        <v>320000</v>
      </c>
      <c r="I210" s="74"/>
      <c r="J210" s="74"/>
      <c r="K210" s="172"/>
      <c r="L210" s="206"/>
      <c r="M210" s="204"/>
      <c r="N210" s="513"/>
      <c r="O210" s="184"/>
      <c r="P210" s="533"/>
      <c r="Q210" s="465">
        <f t="shared" si="27"/>
        <v>0</v>
      </c>
    </row>
    <row r="211" spans="1:17" s="17" customFormat="1" ht="12.75">
      <c r="A211" s="108"/>
      <c r="B211" s="81">
        <v>90013</v>
      </c>
      <c r="C211" s="82" t="s">
        <v>169</v>
      </c>
      <c r="D211" s="230">
        <f aca="true" t="shared" si="28" ref="D211:D251">+E211+M211</f>
        <v>70000</v>
      </c>
      <c r="E211" s="230">
        <f>+E212</f>
        <v>70000</v>
      </c>
      <c r="F211" s="74">
        <f t="shared" si="26"/>
        <v>70000</v>
      </c>
      <c r="G211" s="74">
        <f>+G212</f>
        <v>0</v>
      </c>
      <c r="H211" s="74">
        <f>+H212</f>
        <v>70000</v>
      </c>
      <c r="I211" s="74"/>
      <c r="J211" s="74"/>
      <c r="K211" s="172"/>
      <c r="L211" s="206"/>
      <c r="M211" s="204"/>
      <c r="N211" s="513"/>
      <c r="O211" s="184"/>
      <c r="P211" s="533"/>
      <c r="Q211" s="465">
        <f t="shared" si="27"/>
        <v>0</v>
      </c>
    </row>
    <row r="212" spans="1:17" s="17" customFormat="1" ht="12.75">
      <c r="A212" s="108"/>
      <c r="B212" s="79"/>
      <c r="C212" s="80" t="s">
        <v>291</v>
      </c>
      <c r="D212" s="228">
        <f t="shared" si="28"/>
        <v>70000</v>
      </c>
      <c r="E212" s="228">
        <f>SUM(F212,I212:L212)</f>
        <v>70000</v>
      </c>
      <c r="F212" s="49">
        <f t="shared" si="26"/>
        <v>70000</v>
      </c>
      <c r="G212" s="49"/>
      <c r="H212" s="49">
        <v>70000</v>
      </c>
      <c r="I212" s="49"/>
      <c r="J212" s="49"/>
      <c r="K212" s="171"/>
      <c r="L212" s="229"/>
      <c r="M212" s="203"/>
      <c r="N212" s="513"/>
      <c r="O212" s="184"/>
      <c r="P212" s="533"/>
      <c r="Q212" s="465">
        <f t="shared" si="27"/>
        <v>0</v>
      </c>
    </row>
    <row r="213" spans="1:17" s="17" customFormat="1" ht="12.75">
      <c r="A213" s="108"/>
      <c r="B213" s="81">
        <v>90015</v>
      </c>
      <c r="C213" s="82" t="s">
        <v>170</v>
      </c>
      <c r="D213" s="230">
        <f t="shared" si="28"/>
        <v>2000000</v>
      </c>
      <c r="E213" s="230">
        <f>+F213+I213+J213</f>
        <v>1600000</v>
      </c>
      <c r="F213" s="74">
        <f t="shared" si="26"/>
        <v>1600000</v>
      </c>
      <c r="G213" s="74">
        <f>SUM(G214:G215)</f>
        <v>0</v>
      </c>
      <c r="H213" s="74">
        <f>SUM(H214:H215)</f>
        <v>1600000</v>
      </c>
      <c r="I213" s="74">
        <f>SUM(I214:I215)</f>
        <v>0</v>
      </c>
      <c r="J213" s="74">
        <f>SUM(J214:J215)</f>
        <v>0</v>
      </c>
      <c r="K213" s="172"/>
      <c r="L213" s="206"/>
      <c r="M213" s="204">
        <f>SUM(M214:M216)</f>
        <v>400000</v>
      </c>
      <c r="N213" s="512">
        <f>+N216</f>
        <v>400000</v>
      </c>
      <c r="O213" s="187">
        <f>+O216</f>
        <v>400000</v>
      </c>
      <c r="P213" s="533"/>
      <c r="Q213" s="465">
        <f t="shared" si="27"/>
        <v>0</v>
      </c>
    </row>
    <row r="214" spans="1:17" s="17" customFormat="1" ht="12.75">
      <c r="A214" s="108"/>
      <c r="B214" s="79"/>
      <c r="C214" s="80" t="s">
        <v>171</v>
      </c>
      <c r="D214" s="228">
        <f t="shared" si="28"/>
        <v>1500000</v>
      </c>
      <c r="E214" s="228">
        <f>SUM(F214,I214:L214)</f>
        <v>1500000</v>
      </c>
      <c r="F214" s="49">
        <f t="shared" si="26"/>
        <v>1500000</v>
      </c>
      <c r="G214" s="49"/>
      <c r="H214" s="49">
        <f>2500000-1000000</f>
        <v>1500000</v>
      </c>
      <c r="I214" s="49"/>
      <c r="J214" s="49"/>
      <c r="K214" s="171"/>
      <c r="L214" s="229"/>
      <c r="M214" s="203"/>
      <c r="N214" s="513"/>
      <c r="O214" s="184"/>
      <c r="P214" s="533"/>
      <c r="Q214" s="465">
        <f t="shared" si="27"/>
        <v>0</v>
      </c>
    </row>
    <row r="215" spans="1:17" s="17" customFormat="1" ht="12.75">
      <c r="A215" s="108"/>
      <c r="B215" s="109"/>
      <c r="C215" s="110" t="s">
        <v>172</v>
      </c>
      <c r="D215" s="238">
        <f t="shared" si="28"/>
        <v>100000</v>
      </c>
      <c r="E215" s="228">
        <f>SUM(F215,I215:L215)</f>
        <v>100000</v>
      </c>
      <c r="F215" s="49">
        <f t="shared" si="26"/>
        <v>100000</v>
      </c>
      <c r="G215" s="46"/>
      <c r="H215" s="46">
        <v>100000</v>
      </c>
      <c r="I215" s="46"/>
      <c r="J215" s="46"/>
      <c r="K215" s="173"/>
      <c r="L215" s="233"/>
      <c r="M215" s="205"/>
      <c r="N215" s="513"/>
      <c r="O215" s="184"/>
      <c r="P215" s="533"/>
      <c r="Q215" s="465">
        <f t="shared" si="27"/>
        <v>0</v>
      </c>
    </row>
    <row r="216" spans="1:17" s="17" customFormat="1" ht="12.75">
      <c r="A216" s="108"/>
      <c r="B216" s="109"/>
      <c r="C216" s="103" t="s">
        <v>195</v>
      </c>
      <c r="D216" s="240">
        <f t="shared" si="28"/>
        <v>400000</v>
      </c>
      <c r="E216" s="240"/>
      <c r="F216" s="97">
        <f t="shared" si="26"/>
        <v>0</v>
      </c>
      <c r="G216" s="97"/>
      <c r="H216" s="97"/>
      <c r="I216" s="97"/>
      <c r="J216" s="97"/>
      <c r="K216" s="177"/>
      <c r="L216" s="220"/>
      <c r="M216" s="211">
        <f>+M217</f>
        <v>400000</v>
      </c>
      <c r="N216" s="177">
        <f>+N217</f>
        <v>400000</v>
      </c>
      <c r="O216" s="97">
        <f>+O217</f>
        <v>400000</v>
      </c>
      <c r="P216" s="554">
        <f>+P217</f>
        <v>0</v>
      </c>
      <c r="Q216" s="465">
        <f t="shared" si="27"/>
        <v>0</v>
      </c>
    </row>
    <row r="217" spans="1:17" s="17" customFormat="1" ht="12.75">
      <c r="A217" s="108"/>
      <c r="B217" s="109"/>
      <c r="C217" s="113" t="s">
        <v>392</v>
      </c>
      <c r="D217" s="239">
        <f t="shared" si="28"/>
        <v>400000</v>
      </c>
      <c r="E217" s="239"/>
      <c r="F217" s="48">
        <f t="shared" si="26"/>
        <v>0</v>
      </c>
      <c r="G217" s="48"/>
      <c r="H217" s="48"/>
      <c r="I217" s="48"/>
      <c r="J217" s="48"/>
      <c r="K217" s="178"/>
      <c r="L217" s="213"/>
      <c r="M217" s="212">
        <f>+N217</f>
        <v>400000</v>
      </c>
      <c r="N217" s="513">
        <v>400000</v>
      </c>
      <c r="O217" s="184">
        <f>+N217</f>
        <v>400000</v>
      </c>
      <c r="P217" s="533"/>
      <c r="Q217" s="465">
        <f t="shared" si="27"/>
        <v>0</v>
      </c>
    </row>
    <row r="218" spans="1:17" s="17" customFormat="1" ht="12.75">
      <c r="A218" s="108"/>
      <c r="B218" s="114">
        <v>90095</v>
      </c>
      <c r="C218" s="103" t="s">
        <v>88</v>
      </c>
      <c r="D218" s="240">
        <f t="shared" si="28"/>
        <v>798500</v>
      </c>
      <c r="E218" s="240">
        <f>SUM(E219:E222)</f>
        <v>198500</v>
      </c>
      <c r="F218" s="97">
        <f t="shared" si="26"/>
        <v>198500</v>
      </c>
      <c r="G218" s="97">
        <f>+G219</f>
        <v>85000</v>
      </c>
      <c r="H218" s="97">
        <f>+H219</f>
        <v>113500</v>
      </c>
      <c r="I218" s="97"/>
      <c r="J218" s="97"/>
      <c r="K218" s="177"/>
      <c r="L218" s="220"/>
      <c r="M218" s="211">
        <f>SUM(M219:M220)</f>
        <v>600000</v>
      </c>
      <c r="N218" s="512">
        <f>+N220</f>
        <v>600000</v>
      </c>
      <c r="O218" s="187">
        <f>+O220</f>
        <v>0</v>
      </c>
      <c r="P218" s="533"/>
      <c r="Q218" s="465">
        <f t="shared" si="27"/>
        <v>0</v>
      </c>
    </row>
    <row r="219" spans="1:17" s="17" customFormat="1" ht="12.75">
      <c r="A219" s="108"/>
      <c r="B219" s="114"/>
      <c r="C219" s="110" t="s">
        <v>173</v>
      </c>
      <c r="D219" s="238">
        <f t="shared" si="28"/>
        <v>198500</v>
      </c>
      <c r="E219" s="228">
        <f>SUM(F219,I219:L219)</f>
        <v>198500</v>
      </c>
      <c r="F219" s="46">
        <f t="shared" si="26"/>
        <v>198500</v>
      </c>
      <c r="G219" s="46">
        <v>85000</v>
      </c>
      <c r="H219" s="46">
        <v>113500</v>
      </c>
      <c r="I219" s="46"/>
      <c r="J219" s="46"/>
      <c r="K219" s="173"/>
      <c r="L219" s="233"/>
      <c r="M219" s="205"/>
      <c r="N219" s="513"/>
      <c r="O219" s="184"/>
      <c r="P219" s="533"/>
      <c r="Q219" s="465">
        <f t="shared" si="27"/>
        <v>0</v>
      </c>
    </row>
    <row r="220" spans="1:17" s="17" customFormat="1" ht="12.75">
      <c r="A220" s="108"/>
      <c r="B220" s="114"/>
      <c r="C220" s="103" t="s">
        <v>220</v>
      </c>
      <c r="D220" s="240">
        <f t="shared" si="28"/>
        <v>600000</v>
      </c>
      <c r="E220" s="238"/>
      <c r="F220" s="46">
        <f t="shared" si="26"/>
        <v>0</v>
      </c>
      <c r="G220" s="46"/>
      <c r="H220" s="46"/>
      <c r="I220" s="46"/>
      <c r="J220" s="46"/>
      <c r="K220" s="173"/>
      <c r="L220" s="233"/>
      <c r="M220" s="211">
        <f>+N220+P220</f>
        <v>600000</v>
      </c>
      <c r="N220" s="512">
        <f>SUM(N221:N222)</f>
        <v>600000</v>
      </c>
      <c r="O220" s="187"/>
      <c r="P220" s="537">
        <f>SUM(P221:P222)</f>
        <v>0</v>
      </c>
      <c r="Q220" s="465">
        <f t="shared" si="27"/>
        <v>0</v>
      </c>
    </row>
    <row r="221" spans="1:17" s="17" customFormat="1" ht="25.5">
      <c r="A221" s="108"/>
      <c r="B221" s="114"/>
      <c r="C221" s="110" t="s">
        <v>376</v>
      </c>
      <c r="D221" s="238">
        <f t="shared" si="28"/>
        <v>550000</v>
      </c>
      <c r="E221" s="238"/>
      <c r="F221" s="46"/>
      <c r="G221" s="46"/>
      <c r="H221" s="46"/>
      <c r="I221" s="46"/>
      <c r="J221" s="46"/>
      <c r="K221" s="173"/>
      <c r="L221" s="233"/>
      <c r="M221" s="205">
        <f>+N221+P221</f>
        <v>550000</v>
      </c>
      <c r="N221" s="524">
        <f>100000+450000</f>
        <v>550000</v>
      </c>
      <c r="O221" s="188"/>
      <c r="P221" s="533"/>
      <c r="Q221" s="465">
        <f t="shared" si="27"/>
        <v>0</v>
      </c>
    </row>
    <row r="222" spans="1:17" s="17" customFormat="1" ht="12.75">
      <c r="A222" s="118"/>
      <c r="B222" s="114"/>
      <c r="C222" s="110" t="s">
        <v>368</v>
      </c>
      <c r="D222" s="238">
        <f t="shared" si="28"/>
        <v>50000</v>
      </c>
      <c r="E222" s="238"/>
      <c r="F222" s="46">
        <f t="shared" si="26"/>
        <v>0</v>
      </c>
      <c r="G222" s="46"/>
      <c r="H222" s="46"/>
      <c r="I222" s="46"/>
      <c r="J222" s="46"/>
      <c r="K222" s="173"/>
      <c r="L222" s="233"/>
      <c r="M222" s="205">
        <f>+N222+P222</f>
        <v>50000</v>
      </c>
      <c r="N222" s="513">
        <f>550000-500000</f>
        <v>50000</v>
      </c>
      <c r="O222" s="561"/>
      <c r="P222" s="533"/>
      <c r="Q222" s="465">
        <f t="shared" si="27"/>
        <v>0</v>
      </c>
    </row>
    <row r="223" spans="1:17" s="17" customFormat="1" ht="15">
      <c r="A223" s="104">
        <v>921</v>
      </c>
      <c r="B223" s="105"/>
      <c r="C223" s="106" t="s">
        <v>174</v>
      </c>
      <c r="D223" s="236">
        <f t="shared" si="28"/>
        <v>1485500</v>
      </c>
      <c r="E223" s="236">
        <f>+E224+E227+E229+E231+E233</f>
        <v>1485500</v>
      </c>
      <c r="F223" s="73">
        <f t="shared" si="26"/>
        <v>181200</v>
      </c>
      <c r="G223" s="73"/>
      <c r="H223" s="73">
        <f>+H224+H227+H229+H231+H233</f>
        <v>181200</v>
      </c>
      <c r="I223" s="73">
        <f>+I224+I227+I229+I231+I233</f>
        <v>1304300</v>
      </c>
      <c r="J223" s="73"/>
      <c r="K223" s="175"/>
      <c r="L223" s="209">
        <f>+L224+L227+L229+L231</f>
        <v>0</v>
      </c>
      <c r="M223" s="208">
        <f>+N223+P223</f>
        <v>0</v>
      </c>
      <c r="N223" s="457">
        <f>+N224+N227+N229+N231+N233</f>
        <v>0</v>
      </c>
      <c r="O223" s="73"/>
      <c r="P223" s="539">
        <f>+P224+P227+P229+P231</f>
        <v>0</v>
      </c>
      <c r="Q223" s="465">
        <f>SUM(I223:L223,F223)-E223</f>
        <v>0</v>
      </c>
    </row>
    <row r="224" spans="1:16" s="17" customFormat="1" ht="12.75">
      <c r="A224" s="108"/>
      <c r="B224" s="81">
        <v>92105</v>
      </c>
      <c r="C224" s="82" t="s">
        <v>175</v>
      </c>
      <c r="D224" s="230">
        <f t="shared" si="28"/>
        <v>49500</v>
      </c>
      <c r="E224" s="230">
        <f>SUM(F224,I224:L224)</f>
        <v>49500</v>
      </c>
      <c r="F224" s="74">
        <f t="shared" si="26"/>
        <v>49500</v>
      </c>
      <c r="G224" s="74">
        <f>SUM(G226:G226)</f>
        <v>0</v>
      </c>
      <c r="H224" s="74">
        <f>SUM(H225:H226)</f>
        <v>49500</v>
      </c>
      <c r="I224" s="74">
        <f>+I226</f>
        <v>0</v>
      </c>
      <c r="J224" s="74"/>
      <c r="K224" s="172"/>
      <c r="L224" s="206"/>
      <c r="M224" s="204">
        <f>+N224+P224</f>
        <v>0</v>
      </c>
      <c r="N224" s="509"/>
      <c r="O224" s="157"/>
      <c r="P224" s="533"/>
    </row>
    <row r="225" spans="1:16" s="17" customFormat="1" ht="12.75">
      <c r="A225" s="108"/>
      <c r="B225" s="81"/>
      <c r="C225" s="80" t="s">
        <v>422</v>
      </c>
      <c r="D225" s="228">
        <f>+E225+M225</f>
        <v>10000</v>
      </c>
      <c r="E225" s="228">
        <f>SUM(F225,I225:L225)</f>
        <v>10000</v>
      </c>
      <c r="F225" s="49">
        <f t="shared" si="26"/>
        <v>10000</v>
      </c>
      <c r="G225" s="74"/>
      <c r="H225" s="49">
        <v>10000</v>
      </c>
      <c r="I225" s="74"/>
      <c r="J225" s="74"/>
      <c r="K225" s="172"/>
      <c r="L225" s="206"/>
      <c r="M225" s="204"/>
      <c r="N225" s="509"/>
      <c r="O225" s="157"/>
      <c r="P225" s="533"/>
    </row>
    <row r="226" spans="1:16" s="17" customFormat="1" ht="12.75">
      <c r="A226" s="108"/>
      <c r="B226" s="79"/>
      <c r="C226" s="80" t="s">
        <v>290</v>
      </c>
      <c r="D226" s="228">
        <f>+E226+M226</f>
        <v>39500</v>
      </c>
      <c r="E226" s="228">
        <f>SUM(F226,I226:L226)</f>
        <v>39500</v>
      </c>
      <c r="F226" s="49">
        <f t="shared" si="26"/>
        <v>39500</v>
      </c>
      <c r="G226" s="49"/>
      <c r="H226" s="49">
        <v>39500</v>
      </c>
      <c r="I226" s="49"/>
      <c r="J226" s="49"/>
      <c r="K226" s="171"/>
      <c r="L226" s="229"/>
      <c r="M226" s="203"/>
      <c r="N226" s="509"/>
      <c r="O226" s="157"/>
      <c r="P226" s="533"/>
    </row>
    <row r="227" spans="1:16" s="17" customFormat="1" ht="12.75">
      <c r="A227" s="150"/>
      <c r="B227" s="91">
        <v>92113</v>
      </c>
      <c r="C227" s="74" t="s">
        <v>218</v>
      </c>
      <c r="D227" s="230">
        <f>+D228</f>
        <v>1000000</v>
      </c>
      <c r="E227" s="230">
        <f>+E228</f>
        <v>1000000</v>
      </c>
      <c r="F227" s="74">
        <f t="shared" si="26"/>
        <v>0</v>
      </c>
      <c r="G227" s="74"/>
      <c r="H227" s="74"/>
      <c r="I227" s="74">
        <f>+I228</f>
        <v>1000000</v>
      </c>
      <c r="J227" s="74"/>
      <c r="K227" s="172"/>
      <c r="L227" s="206"/>
      <c r="M227" s="204"/>
      <c r="N227" s="509"/>
      <c r="O227" s="157"/>
      <c r="P227" s="533"/>
    </row>
    <row r="228" spans="1:16" s="17" customFormat="1" ht="12.75">
      <c r="A228" s="150"/>
      <c r="B228" s="91"/>
      <c r="C228" s="49" t="s">
        <v>265</v>
      </c>
      <c r="D228" s="228">
        <f>+E228+M228</f>
        <v>1000000</v>
      </c>
      <c r="E228" s="228">
        <f>SUM(F228,I228:L228)</f>
        <v>1000000</v>
      </c>
      <c r="F228" s="49">
        <f t="shared" si="26"/>
        <v>0</v>
      </c>
      <c r="G228" s="49"/>
      <c r="H228" s="49"/>
      <c r="I228" s="49">
        <f>1537750-537750</f>
        <v>1000000</v>
      </c>
      <c r="J228" s="49"/>
      <c r="K228" s="171"/>
      <c r="L228" s="206"/>
      <c r="M228" s="204"/>
      <c r="N228" s="509"/>
      <c r="O228" s="157"/>
      <c r="P228" s="533"/>
    </row>
    <row r="229" spans="1:16" s="17" customFormat="1" ht="12.75">
      <c r="A229" s="150"/>
      <c r="B229" s="91">
        <v>92116</v>
      </c>
      <c r="C229" s="74" t="s">
        <v>176</v>
      </c>
      <c r="D229" s="230">
        <f t="shared" si="28"/>
        <v>304300</v>
      </c>
      <c r="E229" s="230">
        <f>+E230</f>
        <v>304300</v>
      </c>
      <c r="F229" s="74">
        <f aca="true" t="shared" si="29" ref="F229:F251">+G229+H229</f>
        <v>0</v>
      </c>
      <c r="G229" s="74"/>
      <c r="H229" s="74">
        <f>+H230</f>
        <v>0</v>
      </c>
      <c r="I229" s="74">
        <f>+I230</f>
        <v>304300</v>
      </c>
      <c r="J229" s="74"/>
      <c r="K229" s="172"/>
      <c r="L229" s="206"/>
      <c r="M229" s="204"/>
      <c r="N229" s="509"/>
      <c r="O229" s="157"/>
      <c r="P229" s="533"/>
    </row>
    <row r="230" spans="1:16" s="17" customFormat="1" ht="12.75">
      <c r="A230" s="150"/>
      <c r="B230" s="86"/>
      <c r="C230" s="49" t="s">
        <v>177</v>
      </c>
      <c r="D230" s="228">
        <f t="shared" si="28"/>
        <v>304300</v>
      </c>
      <c r="E230" s="228">
        <f>SUM(F230,I230:L230)</f>
        <v>304300</v>
      </c>
      <c r="F230" s="49">
        <f t="shared" si="29"/>
        <v>0</v>
      </c>
      <c r="G230" s="49"/>
      <c r="H230" s="49"/>
      <c r="I230" s="49">
        <v>304300</v>
      </c>
      <c r="J230" s="49"/>
      <c r="K230" s="171"/>
      <c r="L230" s="229"/>
      <c r="M230" s="203"/>
      <c r="N230" s="509"/>
      <c r="O230" s="157"/>
      <c r="P230" s="533"/>
    </row>
    <row r="231" spans="1:16" s="17" customFormat="1" ht="12.75">
      <c r="A231" s="150"/>
      <c r="B231" s="91">
        <v>92120</v>
      </c>
      <c r="C231" s="74" t="s">
        <v>178</v>
      </c>
      <c r="D231" s="230">
        <f t="shared" si="28"/>
        <v>0</v>
      </c>
      <c r="E231" s="230">
        <f>SUM(E232:E232)</f>
        <v>0</v>
      </c>
      <c r="F231" s="74">
        <f t="shared" si="29"/>
        <v>0</v>
      </c>
      <c r="G231" s="74">
        <f>SUM(G232:G232)</f>
        <v>0</v>
      </c>
      <c r="H231" s="74">
        <f>SUM(H232:H232)</f>
        <v>0</v>
      </c>
      <c r="I231" s="74"/>
      <c r="J231" s="74"/>
      <c r="K231" s="172"/>
      <c r="L231" s="206"/>
      <c r="M231" s="204">
        <f>SUM(M232:M232)</f>
        <v>0</v>
      </c>
      <c r="N231" s="509"/>
      <c r="O231" s="157"/>
      <c r="P231" s="533"/>
    </row>
    <row r="232" spans="1:16" s="17" customFormat="1" ht="12.75">
      <c r="A232" s="150"/>
      <c r="B232" s="86"/>
      <c r="C232" s="49" t="s">
        <v>393</v>
      </c>
      <c r="D232" s="228">
        <f t="shared" si="28"/>
        <v>0</v>
      </c>
      <c r="E232" s="228">
        <f>SUM(F232,I232:L232)</f>
        <v>0</v>
      </c>
      <c r="F232" s="49">
        <f t="shared" si="29"/>
        <v>0</v>
      </c>
      <c r="G232" s="49"/>
      <c r="H232" s="49">
        <f>200000-200000</f>
        <v>0</v>
      </c>
      <c r="I232" s="49"/>
      <c r="J232" s="49"/>
      <c r="K232" s="171"/>
      <c r="L232" s="229"/>
      <c r="M232" s="203"/>
      <c r="N232" s="509"/>
      <c r="O232" s="157"/>
      <c r="P232" s="533"/>
    </row>
    <row r="233" spans="1:16" s="17" customFormat="1" ht="12.75">
      <c r="A233" s="150"/>
      <c r="B233" s="91">
        <v>92195</v>
      </c>
      <c r="C233" s="74" t="s">
        <v>88</v>
      </c>
      <c r="D233" s="230">
        <f t="shared" si="28"/>
        <v>131700</v>
      </c>
      <c r="E233" s="230">
        <f>+F233+I233+J233</f>
        <v>131700</v>
      </c>
      <c r="F233" s="74">
        <f t="shared" si="29"/>
        <v>131700</v>
      </c>
      <c r="G233" s="74">
        <f>SUM(G234:G235)</f>
        <v>0</v>
      </c>
      <c r="H233" s="74">
        <f>SUM(H234:H235)</f>
        <v>131700</v>
      </c>
      <c r="I233" s="74"/>
      <c r="J233" s="74"/>
      <c r="K233" s="172"/>
      <c r="L233" s="206"/>
      <c r="M233" s="204">
        <f>+N233+P233</f>
        <v>0</v>
      </c>
      <c r="N233" s="514">
        <f>+N235</f>
        <v>0</v>
      </c>
      <c r="O233" s="186"/>
      <c r="P233" s="533"/>
    </row>
    <row r="234" spans="1:16" s="17" customFormat="1" ht="12.75">
      <c r="A234" s="150"/>
      <c r="B234" s="87"/>
      <c r="C234" s="46" t="s">
        <v>387</v>
      </c>
      <c r="D234" s="238">
        <f t="shared" si="28"/>
        <v>30000</v>
      </c>
      <c r="E234" s="228">
        <f>SUM(F234,I234:L234)</f>
        <v>30000</v>
      </c>
      <c r="F234" s="46">
        <f t="shared" si="29"/>
        <v>30000</v>
      </c>
      <c r="G234" s="46"/>
      <c r="H234" s="46">
        <v>30000</v>
      </c>
      <c r="I234" s="46"/>
      <c r="J234" s="46"/>
      <c r="K234" s="173"/>
      <c r="L234" s="233"/>
      <c r="M234" s="205"/>
      <c r="N234" s="509"/>
      <c r="O234" s="157"/>
      <c r="P234" s="533"/>
    </row>
    <row r="235" spans="1:16" s="17" customFormat="1" ht="12.75">
      <c r="A235" s="150"/>
      <c r="B235" s="87"/>
      <c r="C235" s="46" t="s">
        <v>290</v>
      </c>
      <c r="D235" s="238">
        <f>+E235+M235</f>
        <v>101700</v>
      </c>
      <c r="E235" s="228">
        <f>SUM(F235,I235:L235)</f>
        <v>101700</v>
      </c>
      <c r="F235" s="46">
        <f t="shared" si="29"/>
        <v>101700</v>
      </c>
      <c r="G235" s="46"/>
      <c r="H235" s="46">
        <v>101700</v>
      </c>
      <c r="I235" s="46"/>
      <c r="J235" s="46"/>
      <c r="K235" s="173"/>
      <c r="L235" s="233"/>
      <c r="M235" s="205">
        <f>+N235+P235</f>
        <v>0</v>
      </c>
      <c r="N235" s="523">
        <v>0</v>
      </c>
      <c r="O235" s="191"/>
      <c r="P235" s="542"/>
    </row>
    <row r="236" spans="1:17" s="17" customFormat="1" ht="15">
      <c r="A236" s="89">
        <v>926</v>
      </c>
      <c r="B236" s="90"/>
      <c r="C236" s="73" t="s">
        <v>996</v>
      </c>
      <c r="D236" s="236">
        <f t="shared" si="28"/>
        <v>1156000</v>
      </c>
      <c r="E236" s="236">
        <f>+E237+E242</f>
        <v>956000</v>
      </c>
      <c r="F236" s="73">
        <f t="shared" si="29"/>
        <v>0</v>
      </c>
      <c r="G236" s="73"/>
      <c r="H236" s="73">
        <f>+H237+H242</f>
        <v>0</v>
      </c>
      <c r="I236" s="73">
        <f>+I237+I242</f>
        <v>956000</v>
      </c>
      <c r="J236" s="73"/>
      <c r="K236" s="175"/>
      <c r="L236" s="209"/>
      <c r="M236" s="208">
        <f>+M237+M242</f>
        <v>200000</v>
      </c>
      <c r="N236" s="175">
        <f>+N237+N242</f>
        <v>200000</v>
      </c>
      <c r="O236" s="73"/>
      <c r="P236" s="548"/>
      <c r="Q236" s="465">
        <f>SUM(I236:L236,F236)-E236</f>
        <v>0</v>
      </c>
    </row>
    <row r="237" spans="1:16" s="17" customFormat="1" ht="12.75">
      <c r="A237" s="101"/>
      <c r="B237" s="91">
        <v>92601</v>
      </c>
      <c r="C237" s="74" t="s">
        <v>179</v>
      </c>
      <c r="D237" s="230">
        <f t="shared" si="28"/>
        <v>700000</v>
      </c>
      <c r="E237" s="230">
        <f>+E238</f>
        <v>500000</v>
      </c>
      <c r="F237" s="74">
        <f t="shared" si="29"/>
        <v>0</v>
      </c>
      <c r="G237" s="74"/>
      <c r="H237" s="74"/>
      <c r="I237" s="74">
        <f>+I238</f>
        <v>500000</v>
      </c>
      <c r="J237" s="74"/>
      <c r="K237" s="172"/>
      <c r="L237" s="206"/>
      <c r="M237" s="204">
        <f>+M240</f>
        <v>200000</v>
      </c>
      <c r="N237" s="513">
        <f>+N240</f>
        <v>200000</v>
      </c>
      <c r="O237" s="184"/>
      <c r="P237" s="533"/>
    </row>
    <row r="238" spans="1:16" s="17" customFormat="1" ht="12.75">
      <c r="A238" s="150"/>
      <c r="B238" s="86"/>
      <c r="C238" s="49" t="s">
        <v>180</v>
      </c>
      <c r="D238" s="228">
        <f t="shared" si="28"/>
        <v>500000</v>
      </c>
      <c r="E238" s="228">
        <f>SUM(F238,I238:L238)</f>
        <v>500000</v>
      </c>
      <c r="F238" s="49">
        <f t="shared" si="29"/>
        <v>0</v>
      </c>
      <c r="G238" s="49"/>
      <c r="H238" s="49"/>
      <c r="I238" s="49">
        <f>592150-92150</f>
        <v>500000</v>
      </c>
      <c r="J238" s="49"/>
      <c r="K238" s="171"/>
      <c r="L238" s="229"/>
      <c r="M238" s="203"/>
      <c r="N238" s="509"/>
      <c r="O238" s="157"/>
      <c r="P238" s="533"/>
    </row>
    <row r="239" spans="1:16" s="17" customFormat="1" ht="12.75">
      <c r="A239" s="150"/>
      <c r="B239" s="86"/>
      <c r="C239" s="49" t="s">
        <v>377</v>
      </c>
      <c r="D239" s="228"/>
      <c r="E239" s="228">
        <f>SUM(F239,I239:L239)</f>
        <v>0</v>
      </c>
      <c r="F239" s="49"/>
      <c r="G239" s="49"/>
      <c r="H239" s="49"/>
      <c r="I239" s="49"/>
      <c r="J239" s="49"/>
      <c r="K239" s="171"/>
      <c r="L239" s="229"/>
      <c r="M239" s="205"/>
      <c r="N239" s="523"/>
      <c r="O239" s="191"/>
      <c r="P239" s="542"/>
    </row>
    <row r="240" spans="1:16" s="17" customFormat="1" ht="12.75">
      <c r="A240" s="150"/>
      <c r="B240" s="86"/>
      <c r="C240" s="124" t="s">
        <v>194</v>
      </c>
      <c r="D240" s="255">
        <f>SUM(D241:D241)</f>
        <v>200000</v>
      </c>
      <c r="E240" s="228"/>
      <c r="F240" s="49">
        <f t="shared" si="29"/>
        <v>0</v>
      </c>
      <c r="G240" s="49"/>
      <c r="H240" s="49"/>
      <c r="I240" s="49"/>
      <c r="J240" s="49"/>
      <c r="K240" s="171"/>
      <c r="L240" s="229"/>
      <c r="M240" s="221">
        <f>SUM(N240:P240)</f>
        <v>200000</v>
      </c>
      <c r="N240" s="525">
        <f>SUM(N241:N241)</f>
        <v>200000</v>
      </c>
      <c r="O240" s="418"/>
      <c r="P240" s="537"/>
    </row>
    <row r="241" spans="1:16" s="17" customFormat="1" ht="12.75">
      <c r="A241" s="150"/>
      <c r="B241" s="86"/>
      <c r="C241" s="49" t="s">
        <v>269</v>
      </c>
      <c r="D241" s="228">
        <f>+E241+M241</f>
        <v>200000</v>
      </c>
      <c r="E241" s="228"/>
      <c r="F241" s="49">
        <f t="shared" si="29"/>
        <v>0</v>
      </c>
      <c r="G241" s="49"/>
      <c r="H241" s="49"/>
      <c r="I241" s="49"/>
      <c r="J241" s="49"/>
      <c r="K241" s="171"/>
      <c r="L241" s="229"/>
      <c r="M241" s="210">
        <f>+N241+P241</f>
        <v>200000</v>
      </c>
      <c r="N241" s="526">
        <f>500000-300000</f>
        <v>200000</v>
      </c>
      <c r="O241" s="502"/>
      <c r="P241" s="547"/>
    </row>
    <row r="242" spans="1:16" s="17" customFormat="1" ht="12.75">
      <c r="A242" s="101"/>
      <c r="B242" s="91">
        <v>92605</v>
      </c>
      <c r="C242" s="74" t="s">
        <v>1004</v>
      </c>
      <c r="D242" s="230">
        <f t="shared" si="28"/>
        <v>456000</v>
      </c>
      <c r="E242" s="230">
        <f>SUM(E243:E251)</f>
        <v>456000</v>
      </c>
      <c r="F242" s="74">
        <f t="shared" si="29"/>
        <v>0</v>
      </c>
      <c r="G242" s="74"/>
      <c r="H242" s="74">
        <f>SUM(H243:H251)</f>
        <v>0</v>
      </c>
      <c r="I242" s="74">
        <f>SUM(I243:I251)</f>
        <v>456000</v>
      </c>
      <c r="J242" s="74"/>
      <c r="K242" s="172"/>
      <c r="L242" s="206">
        <f>SUM(L243:L251)</f>
        <v>0</v>
      </c>
      <c r="M242" s="204">
        <f>SUM(M243:M251)</f>
        <v>0</v>
      </c>
      <c r="N242" s="509"/>
      <c r="O242" s="157"/>
      <c r="P242" s="533"/>
    </row>
    <row r="243" spans="1:16" s="17" customFormat="1" ht="12.75">
      <c r="A243" s="150"/>
      <c r="B243" s="86"/>
      <c r="C243" s="49" t="s">
        <v>181</v>
      </c>
      <c r="D243" s="228"/>
      <c r="E243" s="228"/>
      <c r="F243" s="49">
        <f t="shared" si="29"/>
        <v>0</v>
      </c>
      <c r="G243" s="49"/>
      <c r="H243" s="49"/>
      <c r="I243" s="49"/>
      <c r="J243" s="49"/>
      <c r="K243" s="171"/>
      <c r="L243" s="229"/>
      <c r="M243" s="203"/>
      <c r="N243" s="509"/>
      <c r="O243" s="157"/>
      <c r="P243" s="533"/>
    </row>
    <row r="244" spans="1:16" s="17" customFormat="1" ht="12.75">
      <c r="A244" s="150"/>
      <c r="B244" s="86"/>
      <c r="C244" s="49" t="s">
        <v>254</v>
      </c>
      <c r="D244" s="228">
        <f t="shared" si="28"/>
        <v>200000</v>
      </c>
      <c r="E244" s="228">
        <f aca="true" t="shared" si="30" ref="E244:E251">SUM(F244,I244:L244)</f>
        <v>200000</v>
      </c>
      <c r="F244" s="49">
        <f t="shared" si="29"/>
        <v>0</v>
      </c>
      <c r="G244" s="49"/>
      <c r="H244" s="49"/>
      <c r="I244" s="49">
        <v>200000</v>
      </c>
      <c r="J244" s="49"/>
      <c r="K244" s="171"/>
      <c r="L244" s="229"/>
      <c r="M244" s="203"/>
      <c r="N244" s="509"/>
      <c r="O244" s="157"/>
      <c r="P244" s="533"/>
    </row>
    <row r="245" spans="1:16" s="17" customFormat="1" ht="12.75">
      <c r="A245" s="150"/>
      <c r="B245" s="86"/>
      <c r="C245" s="49" t="s">
        <v>182</v>
      </c>
      <c r="D245" s="228">
        <f t="shared" si="28"/>
        <v>60000</v>
      </c>
      <c r="E245" s="228">
        <f t="shared" si="30"/>
        <v>60000</v>
      </c>
      <c r="F245" s="49">
        <f t="shared" si="29"/>
        <v>0</v>
      </c>
      <c r="G245" s="49"/>
      <c r="H245" s="49"/>
      <c r="I245" s="49">
        <f>50000+10000</f>
        <v>60000</v>
      </c>
      <c r="J245" s="49"/>
      <c r="K245" s="171"/>
      <c r="L245" s="229"/>
      <c r="M245" s="203"/>
      <c r="N245" s="509"/>
      <c r="O245" s="157"/>
      <c r="P245" s="533"/>
    </row>
    <row r="246" spans="1:16" s="17" customFormat="1" ht="12.75">
      <c r="A246" s="150"/>
      <c r="B246" s="86"/>
      <c r="C246" s="49" t="s">
        <v>215</v>
      </c>
      <c r="D246" s="228">
        <f t="shared" si="28"/>
        <v>45000</v>
      </c>
      <c r="E246" s="228">
        <f t="shared" si="30"/>
        <v>45000</v>
      </c>
      <c r="F246" s="49">
        <f>+G246+H246</f>
        <v>0</v>
      </c>
      <c r="G246" s="49"/>
      <c r="H246" s="49"/>
      <c r="I246" s="49">
        <v>45000</v>
      </c>
      <c r="J246" s="49"/>
      <c r="K246" s="171"/>
      <c r="L246" s="229"/>
      <c r="M246" s="203"/>
      <c r="N246" s="509"/>
      <c r="O246" s="157"/>
      <c r="P246" s="533"/>
    </row>
    <row r="247" spans="1:16" s="17" customFormat="1" ht="12.75">
      <c r="A247" s="150"/>
      <c r="B247" s="86"/>
      <c r="C247" s="49" t="s">
        <v>184</v>
      </c>
      <c r="D247" s="228">
        <f t="shared" si="28"/>
        <v>35000</v>
      </c>
      <c r="E247" s="228">
        <f t="shared" si="30"/>
        <v>35000</v>
      </c>
      <c r="F247" s="49">
        <f t="shared" si="29"/>
        <v>0</v>
      </c>
      <c r="G247" s="49"/>
      <c r="H247" s="49"/>
      <c r="I247" s="49">
        <f>22000+8000+10000-5000</f>
        <v>35000</v>
      </c>
      <c r="J247" s="49"/>
      <c r="K247" s="171"/>
      <c r="L247" s="229"/>
      <c r="M247" s="203"/>
      <c r="N247" s="509"/>
      <c r="O247" s="157"/>
      <c r="P247" s="533"/>
    </row>
    <row r="248" spans="1:16" s="17" customFormat="1" ht="12.75">
      <c r="A248" s="150"/>
      <c r="B248" s="86"/>
      <c r="C248" s="49" t="s">
        <v>185</v>
      </c>
      <c r="D248" s="228">
        <f t="shared" si="28"/>
        <v>25000</v>
      </c>
      <c r="E248" s="228">
        <f t="shared" si="30"/>
        <v>25000</v>
      </c>
      <c r="F248" s="49">
        <f t="shared" si="29"/>
        <v>0</v>
      </c>
      <c r="G248" s="49"/>
      <c r="H248" s="49"/>
      <c r="I248" s="49">
        <v>25000</v>
      </c>
      <c r="J248" s="49"/>
      <c r="K248" s="171"/>
      <c r="L248" s="229"/>
      <c r="M248" s="203"/>
      <c r="N248" s="509"/>
      <c r="O248" s="157"/>
      <c r="P248" s="533"/>
    </row>
    <row r="249" spans="1:16" s="17" customFormat="1" ht="12.75">
      <c r="A249" s="150"/>
      <c r="B249" s="86"/>
      <c r="C249" s="49" t="s">
        <v>231</v>
      </c>
      <c r="D249" s="228">
        <f t="shared" si="28"/>
        <v>70000</v>
      </c>
      <c r="E249" s="228">
        <f t="shared" si="30"/>
        <v>70000</v>
      </c>
      <c r="F249" s="49">
        <f t="shared" si="29"/>
        <v>0</v>
      </c>
      <c r="G249" s="49"/>
      <c r="H249" s="49"/>
      <c r="I249" s="49">
        <f>50000+20000</f>
        <v>70000</v>
      </c>
      <c r="J249" s="49"/>
      <c r="K249" s="171"/>
      <c r="L249" s="229"/>
      <c r="M249" s="203"/>
      <c r="N249" s="509"/>
      <c r="O249" s="157"/>
      <c r="P249" s="533"/>
    </row>
    <row r="250" spans="1:16" s="17" customFormat="1" ht="12.75">
      <c r="A250" s="150"/>
      <c r="B250" s="86"/>
      <c r="C250" s="49" t="s">
        <v>186</v>
      </c>
      <c r="D250" s="228">
        <f t="shared" si="28"/>
        <v>16000</v>
      </c>
      <c r="E250" s="228">
        <f t="shared" si="30"/>
        <v>16000</v>
      </c>
      <c r="F250" s="49">
        <f t="shared" si="29"/>
        <v>0</v>
      </c>
      <c r="G250" s="49"/>
      <c r="H250" s="49"/>
      <c r="I250" s="49">
        <f>20000-4000</f>
        <v>16000</v>
      </c>
      <c r="J250" s="49"/>
      <c r="K250" s="171"/>
      <c r="L250" s="229"/>
      <c r="M250" s="203"/>
      <c r="N250" s="509"/>
      <c r="O250" s="157"/>
      <c r="P250" s="533"/>
    </row>
    <row r="251" spans="1:16" s="17" customFormat="1" ht="12.75">
      <c r="A251" s="282"/>
      <c r="B251" s="86"/>
      <c r="C251" s="49" t="s">
        <v>183</v>
      </c>
      <c r="D251" s="228">
        <f t="shared" si="28"/>
        <v>5000</v>
      </c>
      <c r="E251" s="228">
        <f t="shared" si="30"/>
        <v>5000</v>
      </c>
      <c r="F251" s="49">
        <f t="shared" si="29"/>
        <v>0</v>
      </c>
      <c r="G251" s="49"/>
      <c r="H251" s="49"/>
      <c r="I251" s="49">
        <v>5000</v>
      </c>
      <c r="J251" s="49"/>
      <c r="K251" s="171"/>
      <c r="L251" s="229"/>
      <c r="M251" s="203"/>
      <c r="N251" s="509"/>
      <c r="O251" s="157"/>
      <c r="P251" s="533"/>
    </row>
    <row r="252" spans="1:17" s="17" customFormat="1" ht="15.75" thickBot="1">
      <c r="A252" s="640" t="s">
        <v>248</v>
      </c>
      <c r="B252" s="641"/>
      <c r="C252" s="642"/>
      <c r="D252" s="222">
        <f>+D12+D17+D36+D69+D80+D92+D95+D104+D111+D161+D170+D185+D199+D223+D236</f>
        <v>54733941</v>
      </c>
      <c r="E252" s="222">
        <f aca="true" t="shared" si="31" ref="E252:P252">+E12+E17+E36+E69+E80+E92+E95+E104+E111+E161+E170+E185+E199+E223+E236</f>
        <v>43948798</v>
      </c>
      <c r="F252" s="222">
        <f t="shared" si="31"/>
        <v>35457052</v>
      </c>
      <c r="G252" s="222">
        <f t="shared" si="31"/>
        <v>19182945</v>
      </c>
      <c r="H252" s="222">
        <f t="shared" si="31"/>
        <v>16274107</v>
      </c>
      <c r="I252" s="222">
        <f t="shared" si="31"/>
        <v>4289500</v>
      </c>
      <c r="J252" s="222">
        <f t="shared" si="31"/>
        <v>2507996</v>
      </c>
      <c r="K252" s="222">
        <f t="shared" si="31"/>
        <v>607570</v>
      </c>
      <c r="L252" s="222">
        <f t="shared" si="31"/>
        <v>1086680</v>
      </c>
      <c r="M252" s="222">
        <f t="shared" si="31"/>
        <v>10785143</v>
      </c>
      <c r="N252" s="558">
        <f t="shared" si="31"/>
        <v>8856143</v>
      </c>
      <c r="O252" s="558">
        <f t="shared" si="31"/>
        <v>6020000</v>
      </c>
      <c r="P252" s="562">
        <f t="shared" si="31"/>
        <v>1929000</v>
      </c>
      <c r="Q252" s="465">
        <f>+M252+E252-D252</f>
        <v>0</v>
      </c>
    </row>
    <row r="253" spans="1:16" s="17" customFormat="1" ht="16.5" thickBot="1">
      <c r="A253" s="125"/>
      <c r="B253" s="126"/>
      <c r="C253" s="643" t="s">
        <v>394</v>
      </c>
      <c r="D253" s="643"/>
      <c r="E253" s="643"/>
      <c r="F253" s="643"/>
      <c r="G253" s="643"/>
      <c r="H253" s="643"/>
      <c r="I253" s="643"/>
      <c r="J253" s="643"/>
      <c r="K253" s="643"/>
      <c r="L253" s="643"/>
      <c r="M253" s="643"/>
      <c r="N253" s="196"/>
      <c r="O253" s="559"/>
      <c r="P253" s="270"/>
    </row>
    <row r="254" spans="1:16" s="17" customFormat="1" ht="15">
      <c r="A254" s="89">
        <v>750</v>
      </c>
      <c r="B254" s="151"/>
      <c r="C254" s="73" t="s">
        <v>94</v>
      </c>
      <c r="D254" s="260">
        <f>+E254+M254</f>
        <v>125324</v>
      </c>
      <c r="E254" s="257">
        <f>+F254+I254+J254</f>
        <v>125324</v>
      </c>
      <c r="F254" s="73">
        <f aca="true" t="shared" si="32" ref="F254:F265">+G254+H254</f>
        <v>125324</v>
      </c>
      <c r="G254" s="73">
        <f>+G255</f>
        <v>125324</v>
      </c>
      <c r="H254" s="73">
        <f>+H255</f>
        <v>0</v>
      </c>
      <c r="I254" s="73"/>
      <c r="J254" s="73"/>
      <c r="K254" s="175"/>
      <c r="L254" s="175"/>
      <c r="M254" s="214"/>
      <c r="N254" s="521"/>
      <c r="O254" s="197"/>
      <c r="P254" s="548"/>
    </row>
    <row r="255" spans="1:16" s="17" customFormat="1" ht="12.75">
      <c r="A255" s="150"/>
      <c r="B255" s="152">
        <v>75011</v>
      </c>
      <c r="C255" s="74" t="s">
        <v>188</v>
      </c>
      <c r="D255" s="230">
        <f>+E255+M255</f>
        <v>125324</v>
      </c>
      <c r="E255" s="256">
        <f>+F255+I255+J255</f>
        <v>125324</v>
      </c>
      <c r="F255" s="74">
        <f t="shared" si="32"/>
        <v>125324</v>
      </c>
      <c r="G255" s="74">
        <v>125324</v>
      </c>
      <c r="H255" s="74"/>
      <c r="I255" s="74"/>
      <c r="J255" s="74"/>
      <c r="K255" s="172"/>
      <c r="L255" s="171"/>
      <c r="M255" s="203"/>
      <c r="N255" s="509"/>
      <c r="O255" s="157"/>
      <c r="P255" s="533"/>
    </row>
    <row r="256" spans="1:16" s="17" customFormat="1" ht="30">
      <c r="A256" s="89">
        <v>751</v>
      </c>
      <c r="B256" s="151"/>
      <c r="C256" s="73" t="s">
        <v>430</v>
      </c>
      <c r="D256" s="236">
        <f>+E256+M256</f>
        <v>3720</v>
      </c>
      <c r="E256" s="73">
        <f>+E257</f>
        <v>3720</v>
      </c>
      <c r="F256" s="73">
        <f t="shared" si="32"/>
        <v>3720</v>
      </c>
      <c r="G256" s="73">
        <f>+G257</f>
        <v>3720</v>
      </c>
      <c r="H256" s="73">
        <f>+H257</f>
        <v>0</v>
      </c>
      <c r="I256" s="73"/>
      <c r="J256" s="73"/>
      <c r="K256" s="175"/>
      <c r="L256" s="181"/>
      <c r="M256" s="266"/>
      <c r="N256" s="520"/>
      <c r="O256" s="195"/>
      <c r="P256" s="547"/>
    </row>
    <row r="257" spans="1:16" s="17" customFormat="1" ht="25.5">
      <c r="A257" s="150"/>
      <c r="B257" s="152">
        <v>75101</v>
      </c>
      <c r="C257" s="74" t="s">
        <v>431</v>
      </c>
      <c r="D257" s="230">
        <f>+D258</f>
        <v>3720</v>
      </c>
      <c r="E257" s="74">
        <f>+F257+I257+J257</f>
        <v>3720</v>
      </c>
      <c r="F257" s="74">
        <f t="shared" si="32"/>
        <v>3720</v>
      </c>
      <c r="G257" s="74">
        <f>+G258</f>
        <v>3720</v>
      </c>
      <c r="H257" s="74">
        <f>+H258</f>
        <v>0</v>
      </c>
      <c r="I257" s="74"/>
      <c r="J257" s="74"/>
      <c r="K257" s="172"/>
      <c r="L257" s="171"/>
      <c r="M257" s="203"/>
      <c r="N257" s="509"/>
      <c r="O257" s="157"/>
      <c r="P257" s="533"/>
    </row>
    <row r="258" spans="1:16" s="17" customFormat="1" ht="12.75">
      <c r="A258" s="150"/>
      <c r="B258" s="153"/>
      <c r="C258" s="92" t="s">
        <v>251</v>
      </c>
      <c r="D258" s="245">
        <f>+E258+M258</f>
        <v>3720</v>
      </c>
      <c r="E258" s="49">
        <f>SUM(F258,I258:L258)</f>
        <v>3720</v>
      </c>
      <c r="F258" s="92">
        <f t="shared" si="32"/>
        <v>3720</v>
      </c>
      <c r="G258" s="92">
        <v>3720</v>
      </c>
      <c r="H258" s="92">
        <v>0</v>
      </c>
      <c r="I258" s="92"/>
      <c r="J258" s="92"/>
      <c r="K258" s="176"/>
      <c r="L258" s="176"/>
      <c r="M258" s="210"/>
      <c r="N258" s="509"/>
      <c r="O258" s="157"/>
      <c r="P258" s="533"/>
    </row>
    <row r="259" spans="1:16" s="17" customFormat="1" ht="15">
      <c r="A259" s="104">
        <v>752</v>
      </c>
      <c r="B259" s="154"/>
      <c r="C259" s="106" t="s">
        <v>404</v>
      </c>
      <c r="D259" s="236">
        <f>+E259</f>
        <v>400</v>
      </c>
      <c r="E259" s="73">
        <f>+F259+I259+J259</f>
        <v>400</v>
      </c>
      <c r="F259" s="73">
        <f>+G259+H259</f>
        <v>400</v>
      </c>
      <c r="G259" s="73"/>
      <c r="H259" s="73">
        <f>+H260</f>
        <v>400</v>
      </c>
      <c r="I259" s="73"/>
      <c r="J259" s="73"/>
      <c r="K259" s="175"/>
      <c r="L259" s="179"/>
      <c r="M259" s="214"/>
      <c r="N259" s="521"/>
      <c r="O259" s="197"/>
      <c r="P259" s="548"/>
    </row>
    <row r="260" spans="1:16" s="17" customFormat="1" ht="12.75">
      <c r="A260" s="108"/>
      <c r="B260" s="155">
        <v>75212</v>
      </c>
      <c r="C260" s="82" t="s">
        <v>405</v>
      </c>
      <c r="D260" s="230">
        <f>+E260+M260</f>
        <v>400</v>
      </c>
      <c r="E260" s="74">
        <f>SUM(F260,I260:L260)</f>
        <v>400</v>
      </c>
      <c r="F260" s="74">
        <f>+G260+H260</f>
        <v>400</v>
      </c>
      <c r="G260" s="74"/>
      <c r="H260" s="74">
        <v>400</v>
      </c>
      <c r="I260" s="74"/>
      <c r="J260" s="74"/>
      <c r="K260" s="172"/>
      <c r="L260" s="171"/>
      <c r="M260" s="203"/>
      <c r="N260" s="509"/>
      <c r="O260" s="157"/>
      <c r="P260" s="533"/>
    </row>
    <row r="261" spans="1:16" s="17" customFormat="1" ht="30">
      <c r="A261" s="104">
        <v>754</v>
      </c>
      <c r="B261" s="154"/>
      <c r="C261" s="106" t="s">
        <v>133</v>
      </c>
      <c r="D261" s="236">
        <f>+E261</f>
        <v>1000</v>
      </c>
      <c r="E261" s="73">
        <f>+F261+I261+J261</f>
        <v>1000</v>
      </c>
      <c r="F261" s="73">
        <f t="shared" si="32"/>
        <v>1000</v>
      </c>
      <c r="G261" s="73"/>
      <c r="H261" s="73">
        <f>+H262</f>
        <v>1000</v>
      </c>
      <c r="I261" s="73"/>
      <c r="J261" s="73"/>
      <c r="K261" s="175"/>
      <c r="L261" s="179"/>
      <c r="M261" s="214"/>
      <c r="N261" s="521"/>
      <c r="O261" s="197"/>
      <c r="P261" s="548"/>
    </row>
    <row r="262" spans="1:16" s="17" customFormat="1" ht="12.75">
      <c r="A262" s="108"/>
      <c r="B262" s="155">
        <v>75414</v>
      </c>
      <c r="C262" s="82" t="s">
        <v>189</v>
      </c>
      <c r="D262" s="230">
        <f>+E262+M262</f>
        <v>1000</v>
      </c>
      <c r="E262" s="74">
        <f>SUM(F262,I262:L262)</f>
        <v>1000</v>
      </c>
      <c r="F262" s="74">
        <f t="shared" si="32"/>
        <v>1000</v>
      </c>
      <c r="G262" s="74"/>
      <c r="H262" s="74">
        <v>1000</v>
      </c>
      <c r="I262" s="74"/>
      <c r="J262" s="74"/>
      <c r="K262" s="172"/>
      <c r="L262" s="171"/>
      <c r="M262" s="203"/>
      <c r="N262" s="509"/>
      <c r="O262" s="157"/>
      <c r="P262" s="533"/>
    </row>
    <row r="263" spans="1:16" s="17" customFormat="1" ht="15">
      <c r="A263" s="104">
        <v>852</v>
      </c>
      <c r="B263" s="154"/>
      <c r="C263" s="503" t="s">
        <v>140</v>
      </c>
      <c r="D263" s="236">
        <f>+E263+M263</f>
        <v>4090000</v>
      </c>
      <c r="E263" s="73">
        <f>+E264+E265</f>
        <v>4090000</v>
      </c>
      <c r="F263" s="73">
        <f t="shared" si="32"/>
        <v>169720</v>
      </c>
      <c r="G263" s="73">
        <f>SUM(G264:G265)</f>
        <v>118250</v>
      </c>
      <c r="H263" s="73">
        <f>+H264</f>
        <v>51470</v>
      </c>
      <c r="I263" s="194"/>
      <c r="J263" s="194">
        <f>+J264</f>
        <v>3920280</v>
      </c>
      <c r="K263" s="462"/>
      <c r="L263" s="180"/>
      <c r="M263" s="217"/>
      <c r="N263" s="520"/>
      <c r="O263" s="195"/>
      <c r="P263" s="547"/>
    </row>
    <row r="264" spans="1:16" s="17" customFormat="1" ht="25.5">
      <c r="A264" s="108"/>
      <c r="B264" s="155">
        <v>85212</v>
      </c>
      <c r="C264" s="504" t="s">
        <v>359</v>
      </c>
      <c r="D264" s="228">
        <f>+E264+M264</f>
        <v>4086000</v>
      </c>
      <c r="E264" s="49">
        <f>SUM(F264,I264:L264)</f>
        <v>4086000</v>
      </c>
      <c r="F264" s="49">
        <f t="shared" si="32"/>
        <v>165720</v>
      </c>
      <c r="G264" s="49">
        <v>114250</v>
      </c>
      <c r="H264" s="49">
        <v>51470</v>
      </c>
      <c r="I264" s="49"/>
      <c r="J264" s="49">
        <v>3920280</v>
      </c>
      <c r="K264" s="171"/>
      <c r="L264" s="171"/>
      <c r="M264" s="203"/>
      <c r="N264" s="509"/>
      <c r="O264" s="157"/>
      <c r="P264" s="533"/>
    </row>
    <row r="265" spans="1:16" s="17" customFormat="1" ht="25.5">
      <c r="A265" s="118"/>
      <c r="B265" s="301">
        <v>85213</v>
      </c>
      <c r="C265" s="505" t="s">
        <v>360</v>
      </c>
      <c r="D265" s="238">
        <f>+E265+M265</f>
        <v>4000</v>
      </c>
      <c r="E265" s="47">
        <f>SUM(F265,I265:L265)</f>
        <v>4000</v>
      </c>
      <c r="F265" s="46">
        <f t="shared" si="32"/>
        <v>4000</v>
      </c>
      <c r="G265" s="46">
        <v>4000</v>
      </c>
      <c r="H265" s="46"/>
      <c r="I265" s="46"/>
      <c r="J265" s="46"/>
      <c r="K265" s="173"/>
      <c r="L265" s="173"/>
      <c r="M265" s="205"/>
      <c r="N265" s="523"/>
      <c r="O265" s="198"/>
      <c r="P265" s="542"/>
    </row>
    <row r="266" spans="1:16" s="17" customFormat="1" ht="31.5" customHeight="1" thickBot="1">
      <c r="A266" s="637" t="s">
        <v>395</v>
      </c>
      <c r="B266" s="638"/>
      <c r="C266" s="639"/>
      <c r="D266" s="262">
        <f>+D254+D256+D259+D261+D263</f>
        <v>4220444</v>
      </c>
      <c r="E266" s="258">
        <f aca="true" t="shared" si="33" ref="E266:P266">+E254+E256+E259+E261+E263</f>
        <v>4220444</v>
      </c>
      <c r="F266" s="70">
        <f t="shared" si="33"/>
        <v>300164</v>
      </c>
      <c r="G266" s="70">
        <f t="shared" si="33"/>
        <v>247294</v>
      </c>
      <c r="H266" s="70">
        <f t="shared" si="33"/>
        <v>52870</v>
      </c>
      <c r="I266" s="70">
        <f t="shared" si="33"/>
        <v>0</v>
      </c>
      <c r="J266" s="70">
        <f t="shared" si="33"/>
        <v>3920280</v>
      </c>
      <c r="K266" s="182">
        <f t="shared" si="33"/>
        <v>0</v>
      </c>
      <c r="L266" s="182">
        <f t="shared" si="33"/>
        <v>0</v>
      </c>
      <c r="M266" s="262">
        <f t="shared" si="33"/>
        <v>0</v>
      </c>
      <c r="N266" s="70">
        <f t="shared" si="33"/>
        <v>0</v>
      </c>
      <c r="O266" s="182"/>
      <c r="P266" s="259">
        <f t="shared" si="33"/>
        <v>0</v>
      </c>
    </row>
    <row r="267" spans="1:16" s="17" customFormat="1" ht="15.75" customHeight="1" thickBot="1">
      <c r="A267" s="142"/>
      <c r="B267" s="302"/>
      <c r="C267" s="644" t="s">
        <v>396</v>
      </c>
      <c r="D267" s="644"/>
      <c r="E267" s="644"/>
      <c r="F267" s="644"/>
      <c r="G267" s="644"/>
      <c r="H267" s="644"/>
      <c r="I267" s="644"/>
      <c r="J267" s="644"/>
      <c r="K267" s="644"/>
      <c r="L267" s="644"/>
      <c r="M267" s="141"/>
      <c r="N267" s="196"/>
      <c r="O267" s="196"/>
      <c r="P267" s="270"/>
    </row>
    <row r="268" spans="1:16" s="18" customFormat="1" ht="15">
      <c r="A268" s="283">
        <v>710</v>
      </c>
      <c r="B268" s="127"/>
      <c r="C268" s="128" t="s">
        <v>190</v>
      </c>
      <c r="D268" s="264">
        <f>+E268+M268</f>
        <v>1700</v>
      </c>
      <c r="E268" s="129">
        <f>+F268+I268+J268</f>
        <v>1700</v>
      </c>
      <c r="F268" s="129">
        <f>+G268+H268</f>
        <v>1700</v>
      </c>
      <c r="G268" s="129"/>
      <c r="H268" s="129">
        <f>+H269</f>
        <v>1700</v>
      </c>
      <c r="I268" s="192"/>
      <c r="J268" s="192"/>
      <c r="K268" s="461"/>
      <c r="L268" s="176"/>
      <c r="M268" s="210"/>
      <c r="N268" s="193"/>
      <c r="O268" s="527"/>
      <c r="P268" s="267"/>
    </row>
    <row r="269" spans="1:16" ht="12.75">
      <c r="A269" s="118"/>
      <c r="B269" s="156">
        <v>71035</v>
      </c>
      <c r="C269" s="65" t="s">
        <v>191</v>
      </c>
      <c r="D269" s="265">
        <f>+E269</f>
        <v>1700</v>
      </c>
      <c r="E269" s="448">
        <f>SUM(F269,I269:L269)</f>
        <v>1700</v>
      </c>
      <c r="F269" s="45">
        <f>+G269+H269</f>
        <v>1700</v>
      </c>
      <c r="G269" s="45"/>
      <c r="H269" s="45">
        <v>1700</v>
      </c>
      <c r="I269" s="45"/>
      <c r="J269" s="45"/>
      <c r="K269" s="460"/>
      <c r="L269" s="180"/>
      <c r="M269" s="217"/>
      <c r="N269" s="185"/>
      <c r="O269" s="528"/>
      <c r="P269" s="268"/>
    </row>
    <row r="270" spans="1:16" ht="31.5" customHeight="1" thickBot="1">
      <c r="A270" s="637" t="s">
        <v>397</v>
      </c>
      <c r="B270" s="638"/>
      <c r="C270" s="639"/>
      <c r="D270" s="262">
        <f>+D268</f>
        <v>1700</v>
      </c>
      <c r="E270" s="258">
        <f>+E268</f>
        <v>1700</v>
      </c>
      <c r="F270" s="70">
        <f>+F268</f>
        <v>1700</v>
      </c>
      <c r="G270" s="70">
        <f aca="true" t="shared" si="34" ref="G270:P270">+G268</f>
        <v>0</v>
      </c>
      <c r="H270" s="70">
        <f t="shared" si="34"/>
        <v>1700</v>
      </c>
      <c r="I270" s="70">
        <f t="shared" si="34"/>
        <v>0</v>
      </c>
      <c r="J270" s="70">
        <f t="shared" si="34"/>
        <v>0</v>
      </c>
      <c r="K270" s="70">
        <f t="shared" si="34"/>
        <v>0</v>
      </c>
      <c r="L270" s="70">
        <f t="shared" si="34"/>
        <v>0</v>
      </c>
      <c r="M270" s="262">
        <f>+M268</f>
        <v>0</v>
      </c>
      <c r="N270" s="70">
        <f t="shared" si="34"/>
        <v>0</v>
      </c>
      <c r="O270" s="70"/>
      <c r="P270" s="259">
        <f t="shared" si="34"/>
        <v>0</v>
      </c>
    </row>
    <row r="271" spans="1:16" ht="16.5" thickBot="1">
      <c r="A271" s="635" t="s">
        <v>305</v>
      </c>
      <c r="B271" s="636"/>
      <c r="C271" s="636"/>
      <c r="D271" s="263">
        <f>+D252+D266+D270</f>
        <v>58956085</v>
      </c>
      <c r="E271" s="261">
        <f aca="true" t="shared" si="35" ref="E271:P271">+E252+E266+E270</f>
        <v>48170942</v>
      </c>
      <c r="F271" s="143">
        <f t="shared" si="35"/>
        <v>35758916</v>
      </c>
      <c r="G271" s="143">
        <f t="shared" si="35"/>
        <v>19430239</v>
      </c>
      <c r="H271" s="143">
        <f t="shared" si="35"/>
        <v>16328677</v>
      </c>
      <c r="I271" s="143">
        <f t="shared" si="35"/>
        <v>4289500</v>
      </c>
      <c r="J271" s="143">
        <f t="shared" si="35"/>
        <v>6428276</v>
      </c>
      <c r="K271" s="183">
        <f t="shared" si="35"/>
        <v>607570</v>
      </c>
      <c r="L271" s="183">
        <f t="shared" si="35"/>
        <v>1086680</v>
      </c>
      <c r="M271" s="263">
        <f t="shared" si="35"/>
        <v>10785143</v>
      </c>
      <c r="N271" s="143">
        <f t="shared" si="35"/>
        <v>8856143</v>
      </c>
      <c r="O271" s="143">
        <f t="shared" si="35"/>
        <v>6020000</v>
      </c>
      <c r="P271" s="269">
        <f t="shared" si="35"/>
        <v>1929000</v>
      </c>
    </row>
    <row r="272" spans="3:16" ht="13.5" thickBot="1">
      <c r="C272" s="56"/>
      <c r="D272" s="32"/>
      <c r="E272" s="32"/>
      <c r="F272" s="32"/>
      <c r="G272" s="32"/>
      <c r="H272" s="32"/>
      <c r="I272" s="32"/>
      <c r="J272" s="32"/>
      <c r="K272" s="32"/>
      <c r="L272" s="32"/>
      <c r="M272" s="189"/>
      <c r="N272" s="190"/>
      <c r="O272" s="190"/>
      <c r="P272" s="190"/>
    </row>
    <row r="273" spans="3:16" ht="12.75">
      <c r="C273" s="50" t="s">
        <v>388</v>
      </c>
      <c r="D273" s="51">
        <f>+tabela1!E12</f>
        <v>49049210</v>
      </c>
      <c r="E273" s="32"/>
      <c r="F273" s="32"/>
      <c r="G273" s="32">
        <f>+F271-G271-H271</f>
        <v>0</v>
      </c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3:13" ht="12.75">
      <c r="C274" s="52" t="s">
        <v>389</v>
      </c>
      <c r="D274" s="53">
        <f>+E271</f>
        <v>48170942</v>
      </c>
      <c r="E274" s="466"/>
      <c r="G274" s="32"/>
      <c r="M274" s="4"/>
    </row>
    <row r="275" spans="3:13" ht="13.5" thickBot="1">
      <c r="C275" s="54" t="s">
        <v>390</v>
      </c>
      <c r="D275" s="55">
        <f>+D273-D274</f>
        <v>878268</v>
      </c>
      <c r="E275" s="466"/>
      <c r="G275" s="32">
        <f>+D271-E271-M271</f>
        <v>0</v>
      </c>
      <c r="M275" s="4"/>
    </row>
    <row r="276" spans="3:13" ht="12.75">
      <c r="C276" s="50" t="s">
        <v>229</v>
      </c>
      <c r="D276" s="51">
        <v>3476900</v>
      </c>
      <c r="F276" s="32"/>
      <c r="M276" s="4"/>
    </row>
    <row r="277" spans="3:6" ht="12.75">
      <c r="C277" s="52" t="s">
        <v>230</v>
      </c>
      <c r="D277" s="53">
        <f>+D271+D276</f>
        <v>62432985</v>
      </c>
      <c r="F277" s="32"/>
    </row>
    <row r="278" spans="3:13" ht="12.75">
      <c r="C278" s="52" t="s">
        <v>233</v>
      </c>
      <c r="D278" s="53">
        <f>+tabela1!E93</f>
        <v>57365085</v>
      </c>
      <c r="F278" s="32"/>
      <c r="M278" s="4"/>
    </row>
    <row r="279" spans="3:13" ht="12.75">
      <c r="C279" s="130" t="s">
        <v>270</v>
      </c>
      <c r="D279" s="131">
        <f>5000000+67900</f>
        <v>5067900</v>
      </c>
      <c r="M279" s="4"/>
    </row>
    <row r="280" spans="3:13" ht="13.5" thickBot="1">
      <c r="C280" s="54" t="s">
        <v>261</v>
      </c>
      <c r="D280" s="55">
        <f>+D278-D277+D279</f>
        <v>0</v>
      </c>
      <c r="M280" s="4"/>
    </row>
    <row r="281" spans="4:13" ht="12.75">
      <c r="D281" s="39"/>
      <c r="E281" s="39"/>
      <c r="F281" s="39"/>
      <c r="G281" s="39"/>
      <c r="H281" s="39"/>
      <c r="I281" s="39"/>
      <c r="J281" s="39"/>
      <c r="K281" s="39"/>
      <c r="L281" s="39"/>
      <c r="M281" s="39"/>
    </row>
    <row r="282" spans="5:13" ht="12.75">
      <c r="E282" s="32">
        <f>+E271+M271-D271</f>
        <v>0</v>
      </c>
      <c r="F282" s="32"/>
      <c r="G282" s="32"/>
      <c r="M282" s="44">
        <f>+M271-M48-M49-M51</f>
        <v>9662940</v>
      </c>
    </row>
    <row r="284" ht="12.75">
      <c r="F284" s="32"/>
    </row>
    <row r="285" ht="12.75">
      <c r="F285" s="32"/>
    </row>
    <row r="286" ht="12.75">
      <c r="D286" s="32"/>
    </row>
    <row r="287" ht="12.75">
      <c r="E287" s="32">
        <f>+E271-G271-L271</f>
        <v>27654023</v>
      </c>
    </row>
    <row r="288" ht="12.75">
      <c r="E288" s="32">
        <f>+E287*0.005</f>
        <v>138270.115</v>
      </c>
    </row>
    <row r="310" ht="20.25" customHeight="1"/>
    <row r="312" ht="25.5" customHeight="1"/>
    <row r="315" ht="55.5" customHeight="1"/>
    <row r="316" spans="1:13" ht="12.75" hidden="1">
      <c r="A316" s="36"/>
      <c r="B316" s="36"/>
      <c r="C316" s="36"/>
      <c r="D316" s="37" t="s">
        <v>14</v>
      </c>
      <c r="E316" s="37" t="s">
        <v>14</v>
      </c>
      <c r="F316" s="37"/>
      <c r="G316" s="37"/>
      <c r="H316" s="37"/>
      <c r="I316" s="37"/>
      <c r="J316" s="37"/>
      <c r="K316" s="37"/>
      <c r="L316" s="37"/>
      <c r="M316" s="37"/>
    </row>
    <row r="319" ht="77.25" customHeight="1"/>
    <row r="322" ht="44.25" customHeight="1"/>
    <row r="323" spans="1:13" ht="12.75">
      <c r="A323" s="34"/>
      <c r="B323" s="34"/>
      <c r="C323" s="34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4:7" ht="28.5" customHeight="1">
      <c r="D324" s="32"/>
      <c r="E324" s="32"/>
      <c r="F324" s="32"/>
      <c r="G324" s="32"/>
    </row>
    <row r="325" spans="4:7" ht="12.75">
      <c r="D325" s="32"/>
      <c r="E325" s="32"/>
      <c r="F325" s="32"/>
      <c r="G325" s="32"/>
    </row>
    <row r="326" spans="4:7" ht="12.75">
      <c r="D326" s="32"/>
      <c r="E326" s="32"/>
      <c r="F326" s="32"/>
      <c r="G326" s="32"/>
    </row>
    <row r="327" spans="4:7" ht="12.75">
      <c r="D327" s="32"/>
      <c r="E327" s="32"/>
      <c r="F327" s="32"/>
      <c r="G327" s="32"/>
    </row>
    <row r="328" spans="4:7" ht="12.75">
      <c r="D328" s="32"/>
      <c r="E328" s="32"/>
      <c r="F328" s="32"/>
      <c r="G328" s="32"/>
    </row>
    <row r="330" spans="4:13" ht="12.75">
      <c r="D330" s="32"/>
      <c r="E330" s="32"/>
      <c r="F330" s="32"/>
      <c r="G330" s="32"/>
      <c r="H330" s="32"/>
      <c r="I330" s="32"/>
      <c r="J330" s="32"/>
      <c r="K330" s="32"/>
      <c r="M330" s="32"/>
    </row>
    <row r="331" spans="4:13" ht="12.75">
      <c r="D331" s="32"/>
      <c r="E331" s="32"/>
      <c r="F331" s="32"/>
      <c r="G331" s="32"/>
      <c r="H331" s="32"/>
      <c r="M331" s="32"/>
    </row>
    <row r="332" spans="4:8" ht="12.75">
      <c r="D332" s="32"/>
      <c r="E332" s="32"/>
      <c r="F332" s="32"/>
      <c r="G332" s="32"/>
      <c r="H332" s="32"/>
    </row>
    <row r="334" spans="4:8" ht="12.75">
      <c r="D334" s="32"/>
      <c r="E334" s="32"/>
      <c r="F334" s="32"/>
      <c r="G334" s="32"/>
      <c r="H334" s="32"/>
    </row>
    <row r="335" spans="4:8" ht="12.75">
      <c r="D335" s="32"/>
      <c r="E335" s="32"/>
      <c r="F335" s="32"/>
      <c r="G335" s="32"/>
      <c r="H335" s="32"/>
    </row>
    <row r="338" spans="4:8" ht="12.75">
      <c r="D338" s="32"/>
      <c r="E338" s="32"/>
      <c r="F338" s="32"/>
      <c r="G338" s="32"/>
      <c r="H338" s="32"/>
    </row>
    <row r="339" spans="4:8" ht="12.75">
      <c r="D339" s="32"/>
      <c r="E339" s="32"/>
      <c r="F339" s="32"/>
      <c r="G339" s="32"/>
      <c r="H339" s="32"/>
    </row>
    <row r="340" spans="4:8" ht="12.75">
      <c r="D340" s="32"/>
      <c r="E340" s="32"/>
      <c r="F340" s="32"/>
      <c r="G340" s="32"/>
      <c r="H340" s="32"/>
    </row>
    <row r="342" spans="4:13" ht="12.75">
      <c r="D342" s="32"/>
      <c r="M342" s="32"/>
    </row>
    <row r="344" spans="4:8" ht="12.75">
      <c r="D344" s="32"/>
      <c r="E344" s="32"/>
      <c r="F344" s="32"/>
      <c r="G344" s="32"/>
      <c r="H344" s="32"/>
    </row>
    <row r="346" spans="4:8" ht="12.75">
      <c r="D346" s="32"/>
      <c r="E346" s="32"/>
      <c r="F346" s="32"/>
      <c r="G346" s="32"/>
      <c r="H346" s="32"/>
    </row>
    <row r="347" spans="4:8" ht="12.75">
      <c r="D347" s="32"/>
      <c r="E347" s="32"/>
      <c r="F347" s="32"/>
      <c r="G347" s="32"/>
      <c r="H347" s="32"/>
    </row>
    <row r="348" spans="4:8" ht="12.75">
      <c r="D348" s="32"/>
      <c r="E348" s="32"/>
      <c r="F348" s="32"/>
      <c r="G348" s="32"/>
      <c r="H348" s="32"/>
    </row>
    <row r="349" spans="4:8" ht="12.75">
      <c r="D349" s="32"/>
      <c r="E349" s="32"/>
      <c r="F349" s="32"/>
      <c r="G349" s="32"/>
      <c r="H349" s="32"/>
    </row>
    <row r="350" spans="4:8" ht="12.75">
      <c r="D350" s="32"/>
      <c r="E350" s="32"/>
      <c r="F350" s="32"/>
      <c r="G350" s="32"/>
      <c r="H350" s="32"/>
    </row>
    <row r="352" spans="4:11" ht="12.75">
      <c r="D352" s="32"/>
      <c r="E352" s="32"/>
      <c r="F352" s="32"/>
      <c r="G352" s="32"/>
      <c r="I352" s="32"/>
      <c r="J352" s="32"/>
      <c r="K352" s="32"/>
    </row>
    <row r="353" spans="4:11" ht="12.75">
      <c r="D353" s="32"/>
      <c r="E353" s="32"/>
      <c r="F353" s="32"/>
      <c r="G353" s="32"/>
      <c r="I353" s="32"/>
      <c r="J353" s="32"/>
      <c r="K353" s="32"/>
    </row>
    <row r="354" spans="4:7" ht="12.75">
      <c r="D354" s="32"/>
      <c r="E354" s="32"/>
      <c r="F354" s="32"/>
      <c r="G354" s="32"/>
    </row>
    <row r="355" spans="4:8" ht="12.75">
      <c r="D355" s="32"/>
      <c r="E355" s="32"/>
      <c r="F355" s="32"/>
      <c r="G355" s="32"/>
      <c r="H355" s="32"/>
    </row>
    <row r="357" spans="4:8" ht="12.75">
      <c r="D357" s="32"/>
      <c r="E357" s="32"/>
      <c r="F357" s="32"/>
      <c r="G357" s="32"/>
      <c r="H357" s="32"/>
    </row>
    <row r="358" spans="4:8" ht="12.75">
      <c r="D358" s="32"/>
      <c r="E358" s="32"/>
      <c r="F358" s="32"/>
      <c r="G358" s="32"/>
      <c r="H358" s="32"/>
    </row>
    <row r="359" spans="4:8" ht="12.75">
      <c r="D359" s="32"/>
      <c r="E359" s="32"/>
      <c r="F359" s="32"/>
      <c r="G359" s="32"/>
      <c r="H359" s="32"/>
    </row>
    <row r="361" spans="4:7" ht="12.75">
      <c r="D361" s="32"/>
      <c r="E361" s="32"/>
      <c r="F361" s="32"/>
      <c r="G361" s="32"/>
    </row>
    <row r="362" spans="4:7" ht="12.75">
      <c r="D362" s="32"/>
      <c r="E362" s="32"/>
      <c r="F362" s="32"/>
      <c r="G362" s="32"/>
    </row>
    <row r="364" spans="4:8" ht="12.75">
      <c r="D364" s="32"/>
      <c r="E364" s="32"/>
      <c r="F364" s="32"/>
      <c r="G364" s="32"/>
      <c r="H364" s="32"/>
    </row>
    <row r="365" spans="4:8" ht="12.75">
      <c r="D365" s="32"/>
      <c r="E365" s="32"/>
      <c r="F365" s="32"/>
      <c r="G365" s="32"/>
      <c r="H365" s="32"/>
    </row>
    <row r="367" spans="4:8" ht="12.75">
      <c r="D367" s="32"/>
      <c r="E367" s="32"/>
      <c r="F367" s="32"/>
      <c r="G367" s="32"/>
      <c r="H367" s="32"/>
    </row>
    <row r="368" spans="4:8" ht="12.75">
      <c r="D368" s="32"/>
      <c r="E368" s="32"/>
      <c r="F368" s="32"/>
      <c r="G368" s="32"/>
      <c r="H368" s="32"/>
    </row>
    <row r="369" ht="12.75">
      <c r="D369" s="33"/>
    </row>
    <row r="371" ht="12.75">
      <c r="H371" s="33"/>
    </row>
    <row r="372" spans="4:7" ht="12.75">
      <c r="D372" s="32"/>
      <c r="E372" s="32"/>
      <c r="F372" s="32"/>
      <c r="G372" s="32"/>
    </row>
    <row r="374" spans="4:11" ht="12.75">
      <c r="D374" s="32"/>
      <c r="E374" s="32"/>
      <c r="F374" s="32"/>
      <c r="G374" s="32"/>
      <c r="I374" s="32"/>
      <c r="J374" s="32"/>
      <c r="K374" s="32"/>
    </row>
    <row r="375" spans="4:11" ht="12.75">
      <c r="D375" s="32"/>
      <c r="E375" s="32"/>
      <c r="F375" s="32"/>
      <c r="G375" s="32"/>
      <c r="I375" s="32"/>
      <c r="J375" s="32"/>
      <c r="K375" s="32"/>
    </row>
    <row r="378" spans="4:7" ht="12.75">
      <c r="D378" s="32"/>
      <c r="E378" s="32"/>
      <c r="F378" s="32"/>
      <c r="G378" s="32"/>
    </row>
    <row r="379" spans="4:7" ht="12.75">
      <c r="D379" s="32"/>
      <c r="E379" s="32"/>
      <c r="F379" s="32"/>
      <c r="G379" s="32"/>
    </row>
    <row r="380" spans="4:7" ht="12.75">
      <c r="D380" s="32"/>
      <c r="E380" s="32"/>
      <c r="F380" s="32"/>
      <c r="G380" s="32"/>
    </row>
    <row r="388" spans="4:8" ht="12.75">
      <c r="D388" s="32"/>
      <c r="E388" s="32"/>
      <c r="F388" s="32"/>
      <c r="G388" s="32"/>
      <c r="H388" s="32"/>
    </row>
    <row r="391" spans="4:7" ht="12.75">
      <c r="D391" s="32"/>
      <c r="E391" s="32"/>
      <c r="F391" s="32"/>
      <c r="G391" s="32"/>
    </row>
    <row r="393" spans="4:7" ht="12.75">
      <c r="D393" s="32"/>
      <c r="E393" s="32"/>
      <c r="F393" s="32"/>
      <c r="G393" s="32"/>
    </row>
    <row r="395" spans="4:7" ht="12.75">
      <c r="D395" s="32"/>
      <c r="E395" s="32"/>
      <c r="F395" s="32"/>
      <c r="G395" s="32"/>
    </row>
    <row r="397" spans="4:8" ht="12.75">
      <c r="D397" s="32"/>
      <c r="E397" s="32"/>
      <c r="F397" s="32"/>
      <c r="G397" s="32"/>
      <c r="H397" s="32"/>
    </row>
    <row r="398" spans="4:8" ht="12.75">
      <c r="D398" s="32"/>
      <c r="E398" s="32"/>
      <c r="F398" s="32"/>
      <c r="G398" s="32"/>
      <c r="H398" s="32"/>
    </row>
    <row r="400" spans="4:7" ht="12.75">
      <c r="D400" s="32"/>
      <c r="E400" s="32"/>
      <c r="F400" s="32"/>
      <c r="G400" s="32"/>
    </row>
    <row r="401" spans="4:7" ht="12.75">
      <c r="D401" s="32"/>
      <c r="E401" s="32"/>
      <c r="F401" s="32"/>
      <c r="G401" s="32"/>
    </row>
    <row r="403" spans="4:8" ht="12.75">
      <c r="D403" s="32"/>
      <c r="E403" s="32"/>
      <c r="F403" s="32"/>
      <c r="G403" s="32"/>
      <c r="H403" s="32"/>
    </row>
    <row r="404" spans="4:8" ht="12.75">
      <c r="D404" s="32"/>
      <c r="E404" s="32"/>
      <c r="F404" s="32"/>
      <c r="G404" s="32"/>
      <c r="H404" s="32"/>
    </row>
    <row r="406" spans="4:7" ht="12.75">
      <c r="D406" s="32"/>
      <c r="E406" s="32"/>
      <c r="F406" s="32"/>
      <c r="G406" s="32"/>
    </row>
    <row r="407" spans="4:7" ht="12.75">
      <c r="D407" s="32"/>
      <c r="E407" s="32"/>
      <c r="F407" s="32"/>
      <c r="G407" s="32"/>
    </row>
    <row r="409" spans="4:8" ht="12.75">
      <c r="D409" s="32"/>
      <c r="E409" s="32"/>
      <c r="F409" s="32"/>
      <c r="G409" s="32"/>
      <c r="H409" s="32"/>
    </row>
    <row r="410" spans="4:8" ht="12.75">
      <c r="D410" s="32"/>
      <c r="E410" s="32"/>
      <c r="F410" s="32"/>
      <c r="G410" s="32"/>
      <c r="H410" s="32"/>
    </row>
    <row r="411" spans="4:8" ht="12.75">
      <c r="D411" s="32"/>
      <c r="E411" s="32"/>
      <c r="F411" s="32"/>
      <c r="G411" s="32"/>
      <c r="H411" s="32"/>
    </row>
    <row r="413" spans="4:8" ht="12.75">
      <c r="D413" s="32"/>
      <c r="E413" s="32"/>
      <c r="F413" s="32"/>
      <c r="G413" s="32"/>
      <c r="H413" s="32"/>
    </row>
    <row r="415" spans="4:8" ht="12.75">
      <c r="D415" s="32"/>
      <c r="E415" s="32"/>
      <c r="F415" s="32"/>
      <c r="G415" s="32"/>
      <c r="H415" s="32"/>
    </row>
    <row r="416" spans="4:8" ht="12.75">
      <c r="D416" s="32"/>
      <c r="E416" s="32"/>
      <c r="F416" s="32"/>
      <c r="G416" s="32"/>
      <c r="H416" s="32"/>
    </row>
    <row r="417" spans="4:8" ht="12.75">
      <c r="D417" s="32"/>
      <c r="E417" s="32"/>
      <c r="F417" s="32"/>
      <c r="G417" s="32"/>
      <c r="H417" s="32"/>
    </row>
    <row r="418" spans="4:8" ht="12.75">
      <c r="D418" s="32"/>
      <c r="E418" s="32"/>
      <c r="F418" s="32"/>
      <c r="G418" s="32"/>
      <c r="H418" s="32"/>
    </row>
    <row r="419" spans="4:8" ht="12.75">
      <c r="D419" s="32"/>
      <c r="E419" s="32"/>
      <c r="F419" s="32"/>
      <c r="G419" s="32"/>
      <c r="H419" s="32"/>
    </row>
    <row r="420" spans="4:8" ht="12.75">
      <c r="D420" s="32"/>
      <c r="E420" s="32"/>
      <c r="F420" s="32"/>
      <c r="G420" s="32"/>
      <c r="H420" s="32"/>
    </row>
    <row r="422" spans="4:7" ht="12.75">
      <c r="D422" s="32"/>
      <c r="E422" s="32"/>
      <c r="F422" s="32"/>
      <c r="G422" s="32"/>
    </row>
    <row r="423" spans="4:7" ht="12.75">
      <c r="D423" s="32"/>
      <c r="E423" s="32"/>
      <c r="F423" s="32"/>
      <c r="G423" s="32"/>
    </row>
    <row r="424" ht="12.75">
      <c r="D424" s="33"/>
    </row>
    <row r="426" ht="12.75">
      <c r="H426" s="33"/>
    </row>
    <row r="428" spans="4:7" ht="12.75">
      <c r="D428" s="32"/>
      <c r="E428" s="32"/>
      <c r="F428" s="32"/>
      <c r="G428" s="32"/>
    </row>
    <row r="429" spans="4:7" ht="12.75">
      <c r="D429" s="32"/>
      <c r="E429" s="32"/>
      <c r="F429" s="32"/>
      <c r="G429" s="32"/>
    </row>
    <row r="431" spans="4:13" ht="12.75">
      <c r="D431" s="32"/>
      <c r="E431" s="32"/>
      <c r="F431" s="32"/>
      <c r="G431" s="32"/>
      <c r="M431" s="32"/>
    </row>
    <row r="434" spans="4:13" ht="12.75">
      <c r="D434" s="32"/>
      <c r="E434" s="32"/>
      <c r="F434" s="32"/>
      <c r="G434" s="32"/>
      <c r="M434" s="32"/>
    </row>
    <row r="435" spans="4:7" ht="12.75">
      <c r="D435" s="32"/>
      <c r="E435" s="32"/>
      <c r="F435" s="32"/>
      <c r="G435" s="32"/>
    </row>
    <row r="436" spans="4:7" ht="12.75">
      <c r="D436" s="32"/>
      <c r="E436" s="32"/>
      <c r="F436" s="32"/>
      <c r="G436" s="32"/>
    </row>
    <row r="437" spans="4:7" ht="12.75">
      <c r="D437" s="32"/>
      <c r="E437" s="32"/>
      <c r="F437" s="32"/>
      <c r="G437" s="32"/>
    </row>
    <row r="439" spans="4:13" ht="12.75">
      <c r="D439" s="32"/>
      <c r="M439" s="32"/>
    </row>
    <row r="440" spans="4:13" ht="12.75">
      <c r="D440" s="32"/>
      <c r="M440" s="32"/>
    </row>
    <row r="441" spans="4:13" ht="12.75">
      <c r="D441" s="32"/>
      <c r="M441" s="32"/>
    </row>
    <row r="443" spans="4:7" ht="12.75">
      <c r="D443" s="32"/>
      <c r="E443" s="32"/>
      <c r="F443" s="32"/>
      <c r="G443" s="32"/>
    </row>
    <row r="445" spans="4:7" ht="12.75">
      <c r="D445" s="32"/>
      <c r="E445" s="32"/>
      <c r="F445" s="32"/>
      <c r="G445" s="32"/>
    </row>
    <row r="446" spans="4:7" ht="12.75">
      <c r="D446" s="32"/>
      <c r="E446" s="32"/>
      <c r="F446" s="32"/>
      <c r="G446" s="32"/>
    </row>
    <row r="447" spans="4:7" ht="12.75">
      <c r="D447" s="32"/>
      <c r="E447" s="32"/>
      <c r="F447" s="32"/>
      <c r="G447" s="32"/>
    </row>
    <row r="449" spans="4:13" ht="12.75">
      <c r="D449" s="32"/>
      <c r="E449" s="32"/>
      <c r="F449" s="32"/>
      <c r="G449" s="32"/>
      <c r="M449" s="32"/>
    </row>
    <row r="450" spans="4:7" ht="12.75">
      <c r="D450" s="32"/>
      <c r="E450" s="32"/>
      <c r="F450" s="32"/>
      <c r="G450" s="32"/>
    </row>
    <row r="451" spans="4:7" ht="12.75">
      <c r="D451" s="32"/>
      <c r="E451" s="32"/>
      <c r="F451" s="32"/>
      <c r="G451" s="32"/>
    </row>
    <row r="453" spans="4:13" ht="12.75">
      <c r="D453" s="32"/>
      <c r="M453" s="32"/>
    </row>
    <row r="455" spans="4:7" ht="12.75">
      <c r="D455" s="32"/>
      <c r="E455" s="32"/>
      <c r="F455" s="32"/>
      <c r="G455" s="32"/>
    </row>
    <row r="456" spans="4:7" ht="12.75">
      <c r="D456" s="32"/>
      <c r="E456" s="32"/>
      <c r="F456" s="32"/>
      <c r="G456" s="32"/>
    </row>
    <row r="458" spans="4:13" ht="12.75">
      <c r="D458" s="32"/>
      <c r="E458" s="32"/>
      <c r="F458" s="32"/>
      <c r="G458" s="32"/>
      <c r="H458" s="32"/>
      <c r="M458" s="32"/>
    </row>
    <row r="459" spans="4:7" ht="12.75">
      <c r="D459" s="32"/>
      <c r="E459" s="32"/>
      <c r="F459" s="32"/>
      <c r="G459" s="32"/>
    </row>
    <row r="460" spans="4:8" ht="12.75">
      <c r="D460" s="32"/>
      <c r="E460" s="32"/>
      <c r="F460" s="32"/>
      <c r="G460" s="32"/>
      <c r="H460" s="32"/>
    </row>
    <row r="461" spans="4:7" ht="12.75">
      <c r="D461" s="32"/>
      <c r="E461" s="32"/>
      <c r="F461" s="32"/>
      <c r="G461" s="32"/>
    </row>
    <row r="463" spans="4:7" ht="12.75">
      <c r="D463" s="32"/>
      <c r="E463" s="32"/>
      <c r="F463" s="32"/>
      <c r="G463" s="32"/>
    </row>
    <row r="464" spans="4:7" ht="12.75">
      <c r="D464" s="32"/>
      <c r="E464" s="32"/>
      <c r="F464" s="32"/>
      <c r="G464" s="32"/>
    </row>
    <row r="466" spans="4:13" ht="12.75">
      <c r="D466" s="32"/>
      <c r="E466" s="32"/>
      <c r="F466" s="32"/>
      <c r="G466" s="32"/>
      <c r="M466" s="32"/>
    </row>
    <row r="467" spans="4:7" ht="12.75">
      <c r="D467" s="32"/>
      <c r="E467" s="32"/>
      <c r="F467" s="32"/>
      <c r="G467" s="32"/>
    </row>
    <row r="469" spans="4:13" ht="12.75">
      <c r="D469" s="32"/>
      <c r="M469" s="32"/>
    </row>
    <row r="471" spans="4:7" ht="12.75">
      <c r="D471" s="32"/>
      <c r="E471" s="32"/>
      <c r="F471" s="32"/>
      <c r="G471" s="32"/>
    </row>
    <row r="472" spans="4:7" ht="12.75">
      <c r="D472" s="32"/>
      <c r="E472" s="32"/>
      <c r="F472" s="32"/>
      <c r="G472" s="32"/>
    </row>
    <row r="474" spans="4:13" ht="12.75">
      <c r="D474" s="32"/>
      <c r="E474" s="32"/>
      <c r="F474" s="32"/>
      <c r="G474" s="32"/>
      <c r="I474" s="32"/>
      <c r="J474" s="32"/>
      <c r="K474" s="32"/>
      <c r="M474" s="32"/>
    </row>
    <row r="475" spans="4:11" ht="12.75">
      <c r="D475" s="32"/>
      <c r="E475" s="32"/>
      <c r="F475" s="32"/>
      <c r="G475" s="32"/>
      <c r="I475" s="32"/>
      <c r="J475" s="32"/>
      <c r="K475" s="32"/>
    </row>
    <row r="476" spans="4:11" ht="12.75">
      <c r="D476" s="32"/>
      <c r="E476" s="32"/>
      <c r="F476" s="32"/>
      <c r="G476" s="32"/>
      <c r="I476" s="32"/>
      <c r="J476" s="32"/>
      <c r="K476" s="32"/>
    </row>
    <row r="478" spans="4:11" ht="12.75">
      <c r="D478" s="32"/>
      <c r="E478" s="32"/>
      <c r="F478" s="32"/>
      <c r="G478" s="32"/>
      <c r="I478" s="32"/>
      <c r="J478" s="32"/>
      <c r="K478" s="32"/>
    </row>
    <row r="480" spans="4:11" ht="12.75">
      <c r="D480" s="32"/>
      <c r="E480" s="32"/>
      <c r="F480" s="32"/>
      <c r="G480" s="32"/>
      <c r="I480" s="32"/>
      <c r="J480" s="32"/>
      <c r="K480" s="32"/>
    </row>
    <row r="481" spans="4:11" ht="12.75">
      <c r="D481" s="32"/>
      <c r="E481" s="32"/>
      <c r="F481" s="32"/>
      <c r="G481" s="32"/>
      <c r="I481" s="32"/>
      <c r="J481" s="32"/>
      <c r="K481" s="32"/>
    </row>
    <row r="482" spans="4:11" ht="12.75">
      <c r="D482" s="32"/>
      <c r="E482" s="32"/>
      <c r="F482" s="32"/>
      <c r="G482" s="32"/>
      <c r="I482" s="32"/>
      <c r="J482" s="32"/>
      <c r="K482" s="32"/>
    </row>
    <row r="483" spans="4:11" ht="12.75">
      <c r="D483" s="32"/>
      <c r="E483" s="32"/>
      <c r="F483" s="32"/>
      <c r="G483" s="32"/>
      <c r="I483" s="32"/>
      <c r="J483" s="32"/>
      <c r="K483" s="32"/>
    </row>
    <row r="484" spans="4:11" ht="12.75">
      <c r="D484" s="32"/>
      <c r="E484" s="32"/>
      <c r="F484" s="32"/>
      <c r="G484" s="32"/>
      <c r="I484" s="32"/>
      <c r="J484" s="32"/>
      <c r="K484" s="32"/>
    </row>
    <row r="485" spans="4:11" ht="12.75">
      <c r="D485" s="32"/>
      <c r="E485" s="32"/>
      <c r="F485" s="32"/>
      <c r="G485" s="32"/>
      <c r="I485" s="32"/>
      <c r="J485" s="32"/>
      <c r="K485" s="32"/>
    </row>
    <row r="486" spans="4:11" ht="12.75">
      <c r="D486" s="32"/>
      <c r="E486" s="32"/>
      <c r="F486" s="32"/>
      <c r="G486" s="32"/>
      <c r="I486" s="32"/>
      <c r="J486" s="32"/>
      <c r="K486" s="32"/>
    </row>
    <row r="487" spans="4:11" ht="12.75">
      <c r="D487" s="32"/>
      <c r="E487" s="32"/>
      <c r="F487" s="32"/>
      <c r="G487" s="32"/>
      <c r="I487" s="32"/>
      <c r="J487" s="32"/>
      <c r="K487" s="32"/>
    </row>
    <row r="488" spans="4:11" ht="12.75">
      <c r="D488" s="32"/>
      <c r="E488" s="32"/>
      <c r="F488" s="32"/>
      <c r="G488" s="32"/>
      <c r="I488" s="32"/>
      <c r="J488" s="32"/>
      <c r="K488" s="32"/>
    </row>
    <row r="490" spans="4:7" ht="12.75">
      <c r="D490" s="32"/>
      <c r="E490" s="32"/>
      <c r="F490" s="32"/>
      <c r="G490" s="32"/>
    </row>
    <row r="491" spans="4:7" ht="12.75">
      <c r="D491" s="32"/>
      <c r="E491" s="32"/>
      <c r="F491" s="32"/>
      <c r="G491" s="32"/>
    </row>
    <row r="493" spans="4:13" ht="12.75">
      <c r="D493" s="32"/>
      <c r="M493" s="32"/>
    </row>
  </sheetData>
  <mergeCells count="24">
    <mergeCell ref="A271:C271"/>
    <mergeCell ref="A270:C270"/>
    <mergeCell ref="A252:C252"/>
    <mergeCell ref="A266:C266"/>
    <mergeCell ref="C253:M253"/>
    <mergeCell ref="C267:L267"/>
    <mergeCell ref="A5:H5"/>
    <mergeCell ref="F9:F10"/>
    <mergeCell ref="G9:H9"/>
    <mergeCell ref="F8:H8"/>
    <mergeCell ref="A7:A10"/>
    <mergeCell ref="C7:C10"/>
    <mergeCell ref="B7:B10"/>
    <mergeCell ref="E7:P7"/>
    <mergeCell ref="J9:J10"/>
    <mergeCell ref="K9:K10"/>
    <mergeCell ref="N9:N10"/>
    <mergeCell ref="D7:D10"/>
    <mergeCell ref="M8:M10"/>
    <mergeCell ref="I9:I10"/>
    <mergeCell ref="L9:L10"/>
    <mergeCell ref="N8:P8"/>
    <mergeCell ref="P9:P10"/>
    <mergeCell ref="E8:E10"/>
  </mergeCells>
  <printOptions horizontalCentered="1"/>
  <pageMargins left="0.1968503937007874" right="0.1968503937007874" top="0.23" bottom="0.35" header="0.18" footer="0.16"/>
  <pageSetup fitToHeight="6" fitToWidth="1" horizontalDpi="600" verticalDpi="600" orientation="landscape" pageOrder="overThenDown" paperSize="9" scale="62" r:id="rId1"/>
  <headerFooter alignWithMargins="0">
    <oddFooter>&amp;C
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6"/>
  <sheetViews>
    <sheetView showGridLines="0" view="pageBreakPreview" zoomScale="150" zoomScaleNormal="180" zoomScaleSheetLayoutView="150" workbookViewId="0" topLeftCell="E17">
      <selection activeCell="G40" sqref="G40:H40"/>
    </sheetView>
  </sheetViews>
  <sheetFormatPr defaultColWidth="9.00390625" defaultRowHeight="12.75"/>
  <cols>
    <col min="1" max="1" width="2.625" style="574" customWidth="1"/>
    <col min="2" max="2" width="1.00390625" style="574" customWidth="1"/>
    <col min="3" max="4" width="4.875" style="574" customWidth="1"/>
    <col min="5" max="5" width="5.25390625" style="574" customWidth="1"/>
    <col min="6" max="6" width="18.625" style="574" customWidth="1"/>
    <col min="7" max="7" width="6.00390625" style="574" customWidth="1"/>
    <col min="8" max="8" width="3.75390625" style="574" customWidth="1"/>
    <col min="9" max="9" width="9.25390625" style="574" customWidth="1"/>
    <col min="10" max="10" width="8.75390625" style="574" customWidth="1"/>
    <col min="11" max="12" width="8.125" style="574" customWidth="1"/>
    <col min="13" max="17" width="7.625" style="574" customWidth="1"/>
    <col min="18" max="18" width="9.25390625" style="574" customWidth="1"/>
    <col min="19" max="19" width="8.125" style="574" customWidth="1"/>
    <col min="20" max="20" width="1.625" style="574" customWidth="1"/>
    <col min="21" max="21" width="6.625" style="574" customWidth="1"/>
    <col min="22" max="22" width="7.125" style="574" customWidth="1"/>
    <col min="23" max="23" width="0.37109375" style="574" customWidth="1"/>
    <col min="24" max="16384" width="8.00390625" style="574" customWidth="1"/>
  </cols>
  <sheetData>
    <row r="1" ht="12.75">
      <c r="R1" s="580" t="s">
        <v>445</v>
      </c>
    </row>
    <row r="2" ht="12.75">
      <c r="R2" s="593" t="s">
        <v>1053</v>
      </c>
    </row>
    <row r="3" ht="12.75">
      <c r="R3" s="580" t="s">
        <v>32</v>
      </c>
    </row>
    <row r="4" spans="1:23" ht="12.75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93" t="s">
        <v>444</v>
      </c>
      <c r="T4" s="575"/>
      <c r="U4" s="575"/>
      <c r="V4" s="575"/>
      <c r="W4" s="575"/>
    </row>
    <row r="5" spans="1:23" ht="30" customHeight="1">
      <c r="A5" s="657" t="s">
        <v>446</v>
      </c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</row>
    <row r="6" spans="2:23" ht="13.5" customHeight="1">
      <c r="B6" s="645" t="s">
        <v>447</v>
      </c>
      <c r="C6" s="645"/>
      <c r="D6" s="645"/>
      <c r="E6" s="645"/>
      <c r="F6" s="646" t="s">
        <v>448</v>
      </c>
      <c r="G6" s="646"/>
      <c r="H6" s="647"/>
      <c r="I6" s="647"/>
      <c r="J6" s="647"/>
      <c r="K6" s="647"/>
      <c r="L6" s="647"/>
      <c r="M6" s="647"/>
      <c r="N6" s="647"/>
      <c r="O6" s="647"/>
      <c r="P6" s="647"/>
      <c r="Q6" s="647"/>
      <c r="R6" s="647"/>
      <c r="S6" s="647"/>
      <c r="T6" s="647"/>
      <c r="U6" s="647"/>
      <c r="V6" s="647"/>
      <c r="W6" s="647"/>
    </row>
    <row r="7" spans="1:23" ht="8.25" customHeight="1">
      <c r="A7" s="648" t="s">
        <v>3</v>
      </c>
      <c r="B7" s="648"/>
      <c r="C7" s="648" t="s">
        <v>4</v>
      </c>
      <c r="D7" s="648" t="s">
        <v>5</v>
      </c>
      <c r="E7" s="648" t="s">
        <v>13</v>
      </c>
      <c r="F7" s="648"/>
      <c r="G7" s="648" t="s">
        <v>338</v>
      </c>
      <c r="H7" s="648"/>
      <c r="I7" s="648" t="s">
        <v>449</v>
      </c>
      <c r="J7" s="6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</row>
    <row r="8" spans="1:23" ht="11.25" customHeight="1">
      <c r="A8" s="648"/>
      <c r="B8" s="648"/>
      <c r="C8" s="648"/>
      <c r="D8" s="648"/>
      <c r="E8" s="648"/>
      <c r="F8" s="648"/>
      <c r="G8" s="648"/>
      <c r="H8" s="648"/>
      <c r="I8" s="648" t="s">
        <v>450</v>
      </c>
      <c r="J8" s="648" t="s">
        <v>22</v>
      </c>
      <c r="K8" s="648"/>
      <c r="L8" s="648"/>
      <c r="M8" s="648"/>
      <c r="N8" s="648"/>
      <c r="O8" s="648"/>
      <c r="P8" s="648"/>
      <c r="Q8" s="648"/>
      <c r="R8" s="648" t="s">
        <v>451</v>
      </c>
      <c r="S8" s="648" t="s">
        <v>22</v>
      </c>
      <c r="T8" s="648"/>
      <c r="U8" s="648"/>
      <c r="V8" s="648"/>
      <c r="W8" s="648"/>
    </row>
    <row r="9" spans="1:23" ht="2.25" customHeight="1">
      <c r="A9" s="648"/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  <c r="R9" s="648"/>
      <c r="S9" s="648" t="s">
        <v>299</v>
      </c>
      <c r="T9" s="648" t="s">
        <v>7</v>
      </c>
      <c r="U9" s="648"/>
      <c r="V9" s="648" t="s">
        <v>300</v>
      </c>
      <c r="W9" s="648"/>
    </row>
    <row r="10" spans="1:23" ht="5.25" customHeight="1">
      <c r="A10" s="648"/>
      <c r="B10" s="648"/>
      <c r="C10" s="648"/>
      <c r="D10" s="648"/>
      <c r="E10" s="648"/>
      <c r="F10" s="648"/>
      <c r="G10" s="648"/>
      <c r="H10" s="648"/>
      <c r="I10" s="648"/>
      <c r="J10" s="648" t="s">
        <v>297</v>
      </c>
      <c r="K10" s="648" t="s">
        <v>22</v>
      </c>
      <c r="L10" s="648"/>
      <c r="M10" s="648" t="s">
        <v>452</v>
      </c>
      <c r="N10" s="648" t="s">
        <v>453</v>
      </c>
      <c r="O10" s="648" t="s">
        <v>454</v>
      </c>
      <c r="P10" s="648" t="s">
        <v>455</v>
      </c>
      <c r="Q10" s="648" t="s">
        <v>456</v>
      </c>
      <c r="R10" s="648"/>
      <c r="S10" s="648"/>
      <c r="T10" s="648"/>
      <c r="U10" s="648"/>
      <c r="V10" s="648"/>
      <c r="W10" s="648"/>
    </row>
    <row r="11" spans="1:23" ht="2.25" customHeight="1">
      <c r="A11" s="648"/>
      <c r="B11" s="648"/>
      <c r="C11" s="648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 t="s">
        <v>457</v>
      </c>
      <c r="U11" s="648"/>
      <c r="V11" s="648"/>
      <c r="W11" s="648"/>
    </row>
    <row r="12" spans="1:23" ht="39.75" customHeight="1">
      <c r="A12" s="648"/>
      <c r="B12" s="648"/>
      <c r="C12" s="648"/>
      <c r="D12" s="648"/>
      <c r="E12" s="648"/>
      <c r="F12" s="648"/>
      <c r="G12" s="648"/>
      <c r="H12" s="648"/>
      <c r="I12" s="648"/>
      <c r="J12" s="648"/>
      <c r="K12" s="577" t="s">
        <v>458</v>
      </c>
      <c r="L12" s="577" t="s">
        <v>301</v>
      </c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</row>
    <row r="13" spans="1:23" ht="8.25" customHeight="1">
      <c r="A13" s="649" t="s">
        <v>459</v>
      </c>
      <c r="B13" s="649"/>
      <c r="C13" s="581" t="s">
        <v>460</v>
      </c>
      <c r="D13" s="581" t="s">
        <v>461</v>
      </c>
      <c r="E13" s="649" t="s">
        <v>462</v>
      </c>
      <c r="F13" s="649"/>
      <c r="G13" s="649" t="s">
        <v>463</v>
      </c>
      <c r="H13" s="649"/>
      <c r="I13" s="581" t="s">
        <v>464</v>
      </c>
      <c r="J13" s="581" t="s">
        <v>465</v>
      </c>
      <c r="K13" s="581" t="s">
        <v>466</v>
      </c>
      <c r="L13" s="581" t="s">
        <v>467</v>
      </c>
      <c r="M13" s="581" t="s">
        <v>468</v>
      </c>
      <c r="N13" s="581" t="s">
        <v>469</v>
      </c>
      <c r="O13" s="581" t="s">
        <v>470</v>
      </c>
      <c r="P13" s="581" t="s">
        <v>471</v>
      </c>
      <c r="Q13" s="581" t="s">
        <v>472</v>
      </c>
      <c r="R13" s="581" t="s">
        <v>473</v>
      </c>
      <c r="S13" s="581" t="s">
        <v>474</v>
      </c>
      <c r="T13" s="649" t="s">
        <v>475</v>
      </c>
      <c r="U13" s="649"/>
      <c r="V13" s="649" t="s">
        <v>476</v>
      </c>
      <c r="W13" s="649"/>
    </row>
    <row r="14" spans="1:23" ht="13.5" customHeight="1">
      <c r="A14" s="648" t="s">
        <v>477</v>
      </c>
      <c r="B14" s="648"/>
      <c r="C14" s="577"/>
      <c r="D14" s="577"/>
      <c r="E14" s="651" t="s">
        <v>478</v>
      </c>
      <c r="F14" s="651"/>
      <c r="G14" s="650" t="s">
        <v>479</v>
      </c>
      <c r="H14" s="650"/>
      <c r="I14" s="582" t="s">
        <v>479</v>
      </c>
      <c r="J14" s="582" t="s">
        <v>479</v>
      </c>
      <c r="K14" s="582" t="s">
        <v>480</v>
      </c>
      <c r="L14" s="582" t="s">
        <v>479</v>
      </c>
      <c r="M14" s="582" t="s">
        <v>480</v>
      </c>
      <c r="N14" s="582" t="s">
        <v>480</v>
      </c>
      <c r="O14" s="582" t="s">
        <v>480</v>
      </c>
      <c r="P14" s="582" t="s">
        <v>480</v>
      </c>
      <c r="Q14" s="582" t="s">
        <v>480</v>
      </c>
      <c r="R14" s="582" t="s">
        <v>480</v>
      </c>
      <c r="S14" s="582" t="s">
        <v>480</v>
      </c>
      <c r="T14" s="650" t="s">
        <v>480</v>
      </c>
      <c r="U14" s="650"/>
      <c r="V14" s="650" t="s">
        <v>480</v>
      </c>
      <c r="W14" s="650"/>
    </row>
    <row r="15" spans="1:23" ht="13.5" customHeight="1">
      <c r="A15" s="648"/>
      <c r="B15" s="648"/>
      <c r="C15" s="577" t="s">
        <v>481</v>
      </c>
      <c r="D15" s="577"/>
      <c r="E15" s="651" t="s">
        <v>482</v>
      </c>
      <c r="F15" s="651"/>
      <c r="G15" s="650" t="s">
        <v>479</v>
      </c>
      <c r="H15" s="650"/>
      <c r="I15" s="582" t="s">
        <v>479</v>
      </c>
      <c r="J15" s="582" t="s">
        <v>479</v>
      </c>
      <c r="K15" s="582" t="s">
        <v>480</v>
      </c>
      <c r="L15" s="582" t="s">
        <v>479</v>
      </c>
      <c r="M15" s="582" t="s">
        <v>480</v>
      </c>
      <c r="N15" s="582" t="s">
        <v>480</v>
      </c>
      <c r="O15" s="582" t="s">
        <v>480</v>
      </c>
      <c r="P15" s="582" t="s">
        <v>480</v>
      </c>
      <c r="Q15" s="582" t="s">
        <v>480</v>
      </c>
      <c r="R15" s="582" t="s">
        <v>480</v>
      </c>
      <c r="S15" s="582" t="s">
        <v>480</v>
      </c>
      <c r="T15" s="650" t="s">
        <v>480</v>
      </c>
      <c r="U15" s="650"/>
      <c r="V15" s="650" t="s">
        <v>480</v>
      </c>
      <c r="W15" s="650"/>
    </row>
    <row r="16" spans="1:23" ht="13.5" customHeight="1">
      <c r="A16" s="648"/>
      <c r="B16" s="648"/>
      <c r="C16" s="577"/>
      <c r="D16" s="577" t="s">
        <v>483</v>
      </c>
      <c r="E16" s="651" t="s">
        <v>484</v>
      </c>
      <c r="F16" s="651"/>
      <c r="G16" s="650" t="s">
        <v>485</v>
      </c>
      <c r="H16" s="650"/>
      <c r="I16" s="582" t="s">
        <v>485</v>
      </c>
      <c r="J16" s="582" t="s">
        <v>485</v>
      </c>
      <c r="K16" s="582" t="s">
        <v>480</v>
      </c>
      <c r="L16" s="582" t="s">
        <v>485</v>
      </c>
      <c r="M16" s="582" t="s">
        <v>480</v>
      </c>
      <c r="N16" s="582" t="s">
        <v>480</v>
      </c>
      <c r="O16" s="582" t="s">
        <v>480</v>
      </c>
      <c r="P16" s="582" t="s">
        <v>480</v>
      </c>
      <c r="Q16" s="582" t="s">
        <v>480</v>
      </c>
      <c r="R16" s="582" t="s">
        <v>480</v>
      </c>
      <c r="S16" s="582" t="s">
        <v>480</v>
      </c>
      <c r="T16" s="650" t="s">
        <v>480</v>
      </c>
      <c r="U16" s="650"/>
      <c r="V16" s="650" t="s">
        <v>480</v>
      </c>
      <c r="W16" s="650"/>
    </row>
    <row r="17" spans="1:23" ht="13.5" customHeight="1">
      <c r="A17" s="648"/>
      <c r="B17" s="648"/>
      <c r="C17" s="577"/>
      <c r="D17" s="577" t="s">
        <v>486</v>
      </c>
      <c r="E17" s="651" t="s">
        <v>487</v>
      </c>
      <c r="F17" s="651"/>
      <c r="G17" s="650" t="s">
        <v>488</v>
      </c>
      <c r="H17" s="650"/>
      <c r="I17" s="582" t="s">
        <v>488</v>
      </c>
      <c r="J17" s="582" t="s">
        <v>488</v>
      </c>
      <c r="K17" s="582" t="s">
        <v>480</v>
      </c>
      <c r="L17" s="582" t="s">
        <v>488</v>
      </c>
      <c r="M17" s="582" t="s">
        <v>480</v>
      </c>
      <c r="N17" s="582" t="s">
        <v>480</v>
      </c>
      <c r="O17" s="582" t="s">
        <v>480</v>
      </c>
      <c r="P17" s="582" t="s">
        <v>480</v>
      </c>
      <c r="Q17" s="582" t="s">
        <v>480</v>
      </c>
      <c r="R17" s="582" t="s">
        <v>480</v>
      </c>
      <c r="S17" s="582" t="s">
        <v>480</v>
      </c>
      <c r="T17" s="650" t="s">
        <v>480</v>
      </c>
      <c r="U17" s="650"/>
      <c r="V17" s="650" t="s">
        <v>480</v>
      </c>
      <c r="W17" s="650"/>
    </row>
    <row r="18" spans="1:23" ht="13.5" customHeight="1">
      <c r="A18" s="652" t="s">
        <v>489</v>
      </c>
      <c r="B18" s="652"/>
      <c r="C18" s="652"/>
      <c r="D18" s="652"/>
      <c r="E18" s="652"/>
      <c r="F18" s="652"/>
      <c r="G18" s="653" t="s">
        <v>479</v>
      </c>
      <c r="H18" s="653"/>
      <c r="I18" s="583" t="s">
        <v>479</v>
      </c>
      <c r="J18" s="583" t="s">
        <v>479</v>
      </c>
      <c r="K18" s="583" t="s">
        <v>480</v>
      </c>
      <c r="L18" s="583" t="s">
        <v>479</v>
      </c>
      <c r="M18" s="583" t="s">
        <v>480</v>
      </c>
      <c r="N18" s="583" t="s">
        <v>480</v>
      </c>
      <c r="O18" s="583" t="s">
        <v>480</v>
      </c>
      <c r="P18" s="583" t="s">
        <v>480</v>
      </c>
      <c r="Q18" s="583" t="s">
        <v>480</v>
      </c>
      <c r="R18" s="583" t="s">
        <v>480</v>
      </c>
      <c r="S18" s="583" t="s">
        <v>480</v>
      </c>
      <c r="T18" s="653" t="s">
        <v>480</v>
      </c>
      <c r="U18" s="653"/>
      <c r="V18" s="653" t="s">
        <v>480</v>
      </c>
      <c r="W18" s="653"/>
    </row>
    <row r="19" spans="2:23" ht="13.5" customHeight="1">
      <c r="B19" s="645" t="s">
        <v>447</v>
      </c>
      <c r="C19" s="645"/>
      <c r="D19" s="645"/>
      <c r="E19" s="645"/>
      <c r="F19" s="646" t="s">
        <v>490</v>
      </c>
      <c r="G19" s="646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7"/>
    </row>
    <row r="20" spans="1:23" ht="8.25" customHeight="1">
      <c r="A20" s="648" t="s">
        <v>3</v>
      </c>
      <c r="B20" s="648"/>
      <c r="C20" s="648" t="s">
        <v>4</v>
      </c>
      <c r="D20" s="648" t="s">
        <v>5</v>
      </c>
      <c r="E20" s="648" t="s">
        <v>13</v>
      </c>
      <c r="F20" s="648"/>
      <c r="G20" s="648" t="s">
        <v>338</v>
      </c>
      <c r="H20" s="648"/>
      <c r="I20" s="648" t="s">
        <v>449</v>
      </c>
      <c r="J20" s="648"/>
      <c r="K20" s="648"/>
      <c r="L20" s="648"/>
      <c r="M20" s="648"/>
      <c r="N20" s="648"/>
      <c r="O20" s="648"/>
      <c r="P20" s="648"/>
      <c r="Q20" s="648"/>
      <c r="R20" s="648"/>
      <c r="S20" s="648"/>
      <c r="T20" s="648"/>
      <c r="U20" s="648"/>
      <c r="V20" s="648"/>
      <c r="W20" s="648"/>
    </row>
    <row r="21" spans="1:23" ht="11.25" customHeight="1">
      <c r="A21" s="648"/>
      <c r="B21" s="648"/>
      <c r="C21" s="648"/>
      <c r="D21" s="648"/>
      <c r="E21" s="648"/>
      <c r="F21" s="648"/>
      <c r="G21" s="648"/>
      <c r="H21" s="648"/>
      <c r="I21" s="648" t="s">
        <v>450</v>
      </c>
      <c r="J21" s="648" t="s">
        <v>22</v>
      </c>
      <c r="K21" s="648"/>
      <c r="L21" s="648"/>
      <c r="M21" s="648"/>
      <c r="N21" s="648"/>
      <c r="O21" s="648"/>
      <c r="P21" s="648"/>
      <c r="Q21" s="648"/>
      <c r="R21" s="648" t="s">
        <v>451</v>
      </c>
      <c r="S21" s="648" t="s">
        <v>22</v>
      </c>
      <c r="T21" s="648"/>
      <c r="U21" s="648"/>
      <c r="V21" s="648"/>
      <c r="W21" s="648"/>
    </row>
    <row r="22" spans="1:23" ht="2.25" customHeight="1">
      <c r="A22" s="648"/>
      <c r="B22" s="648"/>
      <c r="C22" s="648"/>
      <c r="D22" s="648"/>
      <c r="E22" s="648"/>
      <c r="F22" s="648"/>
      <c r="G22" s="648"/>
      <c r="H22" s="648"/>
      <c r="I22" s="648"/>
      <c r="J22" s="648"/>
      <c r="K22" s="648"/>
      <c r="L22" s="648"/>
      <c r="M22" s="648"/>
      <c r="N22" s="648"/>
      <c r="O22" s="648"/>
      <c r="P22" s="648"/>
      <c r="Q22" s="648"/>
      <c r="R22" s="648"/>
      <c r="S22" s="648" t="s">
        <v>299</v>
      </c>
      <c r="T22" s="648" t="s">
        <v>7</v>
      </c>
      <c r="U22" s="648"/>
      <c r="V22" s="648" t="s">
        <v>300</v>
      </c>
      <c r="W22" s="648"/>
    </row>
    <row r="23" spans="1:23" ht="5.25" customHeight="1">
      <c r="A23" s="648"/>
      <c r="B23" s="648"/>
      <c r="C23" s="648"/>
      <c r="D23" s="648"/>
      <c r="E23" s="648"/>
      <c r="F23" s="648"/>
      <c r="G23" s="648"/>
      <c r="H23" s="648"/>
      <c r="I23" s="648"/>
      <c r="J23" s="648" t="s">
        <v>297</v>
      </c>
      <c r="K23" s="648" t="s">
        <v>22</v>
      </c>
      <c r="L23" s="648"/>
      <c r="M23" s="648" t="s">
        <v>452</v>
      </c>
      <c r="N23" s="648" t="s">
        <v>453</v>
      </c>
      <c r="O23" s="648" t="s">
        <v>454</v>
      </c>
      <c r="P23" s="648" t="s">
        <v>455</v>
      </c>
      <c r="Q23" s="648" t="s">
        <v>456</v>
      </c>
      <c r="R23" s="648"/>
      <c r="S23" s="648"/>
      <c r="T23" s="648"/>
      <c r="U23" s="648"/>
      <c r="V23" s="648"/>
      <c r="W23" s="648"/>
    </row>
    <row r="24" spans="1:23" ht="2.25" customHeight="1">
      <c r="A24" s="648"/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 t="s">
        <v>457</v>
      </c>
      <c r="U24" s="648"/>
      <c r="V24" s="648"/>
      <c r="W24" s="648"/>
    </row>
    <row r="25" spans="1:23" ht="39.75" customHeight="1">
      <c r="A25" s="648"/>
      <c r="B25" s="648"/>
      <c r="C25" s="648"/>
      <c r="D25" s="648"/>
      <c r="E25" s="648"/>
      <c r="F25" s="648"/>
      <c r="G25" s="648"/>
      <c r="H25" s="648"/>
      <c r="I25" s="648"/>
      <c r="J25" s="648"/>
      <c r="K25" s="577" t="s">
        <v>458</v>
      </c>
      <c r="L25" s="577" t="s">
        <v>301</v>
      </c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</row>
    <row r="26" spans="1:23" ht="8.25" customHeight="1">
      <c r="A26" s="649" t="s">
        <v>459</v>
      </c>
      <c r="B26" s="649"/>
      <c r="C26" s="581" t="s">
        <v>460</v>
      </c>
      <c r="D26" s="581" t="s">
        <v>461</v>
      </c>
      <c r="E26" s="649" t="s">
        <v>462</v>
      </c>
      <c r="F26" s="649"/>
      <c r="G26" s="649" t="s">
        <v>463</v>
      </c>
      <c r="H26" s="649"/>
      <c r="I26" s="581" t="s">
        <v>464</v>
      </c>
      <c r="J26" s="581" t="s">
        <v>465</v>
      </c>
      <c r="K26" s="581" t="s">
        <v>466</v>
      </c>
      <c r="L26" s="581" t="s">
        <v>467</v>
      </c>
      <c r="M26" s="581" t="s">
        <v>468</v>
      </c>
      <c r="N26" s="581" t="s">
        <v>469</v>
      </c>
      <c r="O26" s="581" t="s">
        <v>470</v>
      </c>
      <c r="P26" s="581" t="s">
        <v>471</v>
      </c>
      <c r="Q26" s="581" t="s">
        <v>472</v>
      </c>
      <c r="R26" s="581" t="s">
        <v>473</v>
      </c>
      <c r="S26" s="581" t="s">
        <v>474</v>
      </c>
      <c r="T26" s="649" t="s">
        <v>475</v>
      </c>
      <c r="U26" s="649"/>
      <c r="V26" s="649" t="s">
        <v>476</v>
      </c>
      <c r="W26" s="649"/>
    </row>
    <row r="27" spans="1:23" ht="13.5" customHeight="1">
      <c r="A27" s="648" t="s">
        <v>217</v>
      </c>
      <c r="B27" s="648"/>
      <c r="C27" s="577"/>
      <c r="D27" s="577"/>
      <c r="E27" s="651" t="s">
        <v>65</v>
      </c>
      <c r="F27" s="651"/>
      <c r="G27" s="650" t="s">
        <v>491</v>
      </c>
      <c r="H27" s="650"/>
      <c r="I27" s="582" t="s">
        <v>491</v>
      </c>
      <c r="J27" s="582" t="s">
        <v>491</v>
      </c>
      <c r="K27" s="582" t="s">
        <v>480</v>
      </c>
      <c r="L27" s="582" t="s">
        <v>491</v>
      </c>
      <c r="M27" s="582" t="s">
        <v>480</v>
      </c>
      <c r="N27" s="582" t="s">
        <v>480</v>
      </c>
      <c r="O27" s="582" t="s">
        <v>480</v>
      </c>
      <c r="P27" s="582" t="s">
        <v>480</v>
      </c>
      <c r="Q27" s="582" t="s">
        <v>480</v>
      </c>
      <c r="R27" s="582" t="s">
        <v>480</v>
      </c>
      <c r="S27" s="582" t="s">
        <v>480</v>
      </c>
      <c r="T27" s="650" t="s">
        <v>480</v>
      </c>
      <c r="U27" s="650"/>
      <c r="V27" s="650" t="s">
        <v>480</v>
      </c>
      <c r="W27" s="650"/>
    </row>
    <row r="28" spans="1:23" ht="13.5" customHeight="1">
      <c r="A28" s="648"/>
      <c r="B28" s="648"/>
      <c r="C28" s="577" t="s">
        <v>492</v>
      </c>
      <c r="D28" s="577"/>
      <c r="E28" s="651" t="s">
        <v>66</v>
      </c>
      <c r="F28" s="651"/>
      <c r="G28" s="650" t="s">
        <v>493</v>
      </c>
      <c r="H28" s="650"/>
      <c r="I28" s="582" t="s">
        <v>493</v>
      </c>
      <c r="J28" s="582" t="s">
        <v>493</v>
      </c>
      <c r="K28" s="582" t="s">
        <v>480</v>
      </c>
      <c r="L28" s="582" t="s">
        <v>493</v>
      </c>
      <c r="M28" s="582" t="s">
        <v>480</v>
      </c>
      <c r="N28" s="582" t="s">
        <v>480</v>
      </c>
      <c r="O28" s="582" t="s">
        <v>480</v>
      </c>
      <c r="P28" s="582" t="s">
        <v>480</v>
      </c>
      <c r="Q28" s="582" t="s">
        <v>480</v>
      </c>
      <c r="R28" s="582" t="s">
        <v>480</v>
      </c>
      <c r="S28" s="582" t="s">
        <v>480</v>
      </c>
      <c r="T28" s="650" t="s">
        <v>480</v>
      </c>
      <c r="U28" s="650"/>
      <c r="V28" s="650" t="s">
        <v>480</v>
      </c>
      <c r="W28" s="650"/>
    </row>
    <row r="29" spans="1:23" ht="13.5" customHeight="1">
      <c r="A29" s="648"/>
      <c r="B29" s="648"/>
      <c r="C29" s="577"/>
      <c r="D29" s="577" t="s">
        <v>494</v>
      </c>
      <c r="E29" s="651" t="s">
        <v>495</v>
      </c>
      <c r="F29" s="651"/>
      <c r="G29" s="650" t="s">
        <v>493</v>
      </c>
      <c r="H29" s="650"/>
      <c r="I29" s="582" t="s">
        <v>493</v>
      </c>
      <c r="J29" s="582" t="s">
        <v>493</v>
      </c>
      <c r="K29" s="582" t="s">
        <v>480</v>
      </c>
      <c r="L29" s="582" t="s">
        <v>493</v>
      </c>
      <c r="M29" s="582" t="s">
        <v>480</v>
      </c>
      <c r="N29" s="582" t="s">
        <v>480</v>
      </c>
      <c r="O29" s="582" t="s">
        <v>480</v>
      </c>
      <c r="P29" s="582" t="s">
        <v>480</v>
      </c>
      <c r="Q29" s="582" t="s">
        <v>480</v>
      </c>
      <c r="R29" s="582" t="s">
        <v>480</v>
      </c>
      <c r="S29" s="582" t="s">
        <v>480</v>
      </c>
      <c r="T29" s="650" t="s">
        <v>480</v>
      </c>
      <c r="U29" s="650"/>
      <c r="V29" s="650" t="s">
        <v>480</v>
      </c>
      <c r="W29" s="650"/>
    </row>
    <row r="30" spans="1:23" ht="13.5" customHeight="1">
      <c r="A30" s="648"/>
      <c r="B30" s="648"/>
      <c r="C30" s="577" t="s">
        <v>496</v>
      </c>
      <c r="D30" s="577"/>
      <c r="E30" s="651" t="s">
        <v>497</v>
      </c>
      <c r="F30" s="651"/>
      <c r="G30" s="650" t="s">
        <v>498</v>
      </c>
      <c r="H30" s="650"/>
      <c r="I30" s="582" t="s">
        <v>498</v>
      </c>
      <c r="J30" s="582" t="s">
        <v>498</v>
      </c>
      <c r="K30" s="582" t="s">
        <v>480</v>
      </c>
      <c r="L30" s="582" t="s">
        <v>498</v>
      </c>
      <c r="M30" s="582" t="s">
        <v>480</v>
      </c>
      <c r="N30" s="582" t="s">
        <v>480</v>
      </c>
      <c r="O30" s="582" t="s">
        <v>480</v>
      </c>
      <c r="P30" s="582" t="s">
        <v>480</v>
      </c>
      <c r="Q30" s="582" t="s">
        <v>480</v>
      </c>
      <c r="R30" s="582" t="s">
        <v>480</v>
      </c>
      <c r="S30" s="582" t="s">
        <v>480</v>
      </c>
      <c r="T30" s="650" t="s">
        <v>480</v>
      </c>
      <c r="U30" s="650"/>
      <c r="V30" s="650" t="s">
        <v>480</v>
      </c>
      <c r="W30" s="650"/>
    </row>
    <row r="31" spans="1:23" ht="17.25" customHeight="1">
      <c r="A31" s="648"/>
      <c r="B31" s="648"/>
      <c r="C31" s="577"/>
      <c r="D31" s="577" t="s">
        <v>499</v>
      </c>
      <c r="E31" s="651" t="s">
        <v>500</v>
      </c>
      <c r="F31" s="651"/>
      <c r="G31" s="650" t="s">
        <v>498</v>
      </c>
      <c r="H31" s="650"/>
      <c r="I31" s="582" t="s">
        <v>498</v>
      </c>
      <c r="J31" s="582" t="s">
        <v>498</v>
      </c>
      <c r="K31" s="582" t="s">
        <v>480</v>
      </c>
      <c r="L31" s="582" t="s">
        <v>498</v>
      </c>
      <c r="M31" s="582" t="s">
        <v>480</v>
      </c>
      <c r="N31" s="582" t="s">
        <v>480</v>
      </c>
      <c r="O31" s="582" t="s">
        <v>480</v>
      </c>
      <c r="P31" s="582" t="s">
        <v>480</v>
      </c>
      <c r="Q31" s="582" t="s">
        <v>480</v>
      </c>
      <c r="R31" s="582" t="s">
        <v>480</v>
      </c>
      <c r="S31" s="582" t="s">
        <v>480</v>
      </c>
      <c r="T31" s="650" t="s">
        <v>480</v>
      </c>
      <c r="U31" s="650"/>
      <c r="V31" s="650" t="s">
        <v>480</v>
      </c>
      <c r="W31" s="650"/>
    </row>
    <row r="32" spans="1:23" ht="13.5" customHeight="1">
      <c r="A32" s="648" t="s">
        <v>501</v>
      </c>
      <c r="B32" s="648"/>
      <c r="C32" s="577"/>
      <c r="D32" s="577"/>
      <c r="E32" s="651" t="s">
        <v>70</v>
      </c>
      <c r="F32" s="651"/>
      <c r="G32" s="650" t="s">
        <v>502</v>
      </c>
      <c r="H32" s="650"/>
      <c r="I32" s="582" t="s">
        <v>503</v>
      </c>
      <c r="J32" s="582" t="s">
        <v>503</v>
      </c>
      <c r="K32" s="582" t="s">
        <v>480</v>
      </c>
      <c r="L32" s="582" t="s">
        <v>503</v>
      </c>
      <c r="M32" s="582" t="s">
        <v>480</v>
      </c>
      <c r="N32" s="582" t="s">
        <v>480</v>
      </c>
      <c r="O32" s="582" t="s">
        <v>480</v>
      </c>
      <c r="P32" s="582" t="s">
        <v>480</v>
      </c>
      <c r="Q32" s="582" t="s">
        <v>480</v>
      </c>
      <c r="R32" s="582" t="s">
        <v>504</v>
      </c>
      <c r="S32" s="582" t="s">
        <v>504</v>
      </c>
      <c r="T32" s="650" t="s">
        <v>505</v>
      </c>
      <c r="U32" s="650"/>
      <c r="V32" s="650" t="s">
        <v>480</v>
      </c>
      <c r="W32" s="650"/>
    </row>
    <row r="33" spans="1:23" ht="13.5" customHeight="1">
      <c r="A33" s="648"/>
      <c r="B33" s="648"/>
      <c r="C33" s="577" t="s">
        <v>506</v>
      </c>
      <c r="D33" s="577"/>
      <c r="E33" s="651" t="s">
        <v>72</v>
      </c>
      <c r="F33" s="651"/>
      <c r="G33" s="650" t="s">
        <v>507</v>
      </c>
      <c r="H33" s="650"/>
      <c r="I33" s="582" t="s">
        <v>507</v>
      </c>
      <c r="J33" s="582" t="s">
        <v>507</v>
      </c>
      <c r="K33" s="582" t="s">
        <v>480</v>
      </c>
      <c r="L33" s="582" t="s">
        <v>507</v>
      </c>
      <c r="M33" s="582" t="s">
        <v>480</v>
      </c>
      <c r="N33" s="582" t="s">
        <v>480</v>
      </c>
      <c r="O33" s="582" t="s">
        <v>480</v>
      </c>
      <c r="P33" s="582" t="s">
        <v>480</v>
      </c>
      <c r="Q33" s="582" t="s">
        <v>480</v>
      </c>
      <c r="R33" s="582" t="s">
        <v>480</v>
      </c>
      <c r="S33" s="582" t="s">
        <v>480</v>
      </c>
      <c r="T33" s="650" t="s">
        <v>480</v>
      </c>
      <c r="U33" s="650"/>
      <c r="V33" s="650" t="s">
        <v>480</v>
      </c>
      <c r="W33" s="650"/>
    </row>
    <row r="34" spans="1:23" ht="13.5" customHeight="1">
      <c r="A34" s="648"/>
      <c r="B34" s="648"/>
      <c r="C34" s="577"/>
      <c r="D34" s="577" t="s">
        <v>486</v>
      </c>
      <c r="E34" s="651" t="s">
        <v>487</v>
      </c>
      <c r="F34" s="651"/>
      <c r="G34" s="650" t="s">
        <v>507</v>
      </c>
      <c r="H34" s="650"/>
      <c r="I34" s="582" t="s">
        <v>507</v>
      </c>
      <c r="J34" s="582" t="s">
        <v>507</v>
      </c>
      <c r="K34" s="582" t="s">
        <v>480</v>
      </c>
      <c r="L34" s="582" t="s">
        <v>507</v>
      </c>
      <c r="M34" s="582" t="s">
        <v>480</v>
      </c>
      <c r="N34" s="582" t="s">
        <v>480</v>
      </c>
      <c r="O34" s="582" t="s">
        <v>480</v>
      </c>
      <c r="P34" s="582" t="s">
        <v>480</v>
      </c>
      <c r="Q34" s="582" t="s">
        <v>480</v>
      </c>
      <c r="R34" s="582" t="s">
        <v>480</v>
      </c>
      <c r="S34" s="582" t="s">
        <v>480</v>
      </c>
      <c r="T34" s="650" t="s">
        <v>480</v>
      </c>
      <c r="U34" s="650"/>
      <c r="V34" s="650" t="s">
        <v>480</v>
      </c>
      <c r="W34" s="650"/>
    </row>
    <row r="35" spans="1:23" ht="13.5" customHeight="1">
      <c r="A35" s="648"/>
      <c r="B35" s="648"/>
      <c r="C35" s="577" t="s">
        <v>508</v>
      </c>
      <c r="D35" s="577"/>
      <c r="E35" s="651" t="s">
        <v>369</v>
      </c>
      <c r="F35" s="651"/>
      <c r="G35" s="650" t="s">
        <v>509</v>
      </c>
      <c r="H35" s="650"/>
      <c r="I35" s="582" t="s">
        <v>480</v>
      </c>
      <c r="J35" s="582" t="s">
        <v>480</v>
      </c>
      <c r="K35" s="582" t="s">
        <v>480</v>
      </c>
      <c r="L35" s="582" t="s">
        <v>480</v>
      </c>
      <c r="M35" s="582" t="s">
        <v>480</v>
      </c>
      <c r="N35" s="582" t="s">
        <v>480</v>
      </c>
      <c r="O35" s="582" t="s">
        <v>480</v>
      </c>
      <c r="P35" s="582" t="s">
        <v>480</v>
      </c>
      <c r="Q35" s="582" t="s">
        <v>480</v>
      </c>
      <c r="R35" s="582" t="s">
        <v>509</v>
      </c>
      <c r="S35" s="582" t="s">
        <v>509</v>
      </c>
      <c r="T35" s="650" t="s">
        <v>480</v>
      </c>
      <c r="U35" s="650"/>
      <c r="V35" s="650" t="s">
        <v>480</v>
      </c>
      <c r="W35" s="650"/>
    </row>
    <row r="36" spans="1:23" ht="30" customHeight="1">
      <c r="A36" s="648"/>
      <c r="B36" s="648"/>
      <c r="C36" s="577"/>
      <c r="D36" s="577" t="s">
        <v>510</v>
      </c>
      <c r="E36" s="651" t="s">
        <v>511</v>
      </c>
      <c r="F36" s="651"/>
      <c r="G36" s="650" t="s">
        <v>509</v>
      </c>
      <c r="H36" s="650"/>
      <c r="I36" s="582" t="s">
        <v>480</v>
      </c>
      <c r="J36" s="582" t="s">
        <v>480</v>
      </c>
      <c r="K36" s="582" t="s">
        <v>480</v>
      </c>
      <c r="L36" s="582" t="s">
        <v>480</v>
      </c>
      <c r="M36" s="582" t="s">
        <v>480</v>
      </c>
      <c r="N36" s="582" t="s">
        <v>480</v>
      </c>
      <c r="O36" s="582" t="s">
        <v>480</v>
      </c>
      <c r="P36" s="582" t="s">
        <v>480</v>
      </c>
      <c r="Q36" s="582" t="s">
        <v>480</v>
      </c>
      <c r="R36" s="582" t="s">
        <v>509</v>
      </c>
      <c r="S36" s="582" t="s">
        <v>509</v>
      </c>
      <c r="T36" s="650" t="s">
        <v>480</v>
      </c>
      <c r="U36" s="650"/>
      <c r="V36" s="650" t="s">
        <v>480</v>
      </c>
      <c r="W36" s="650"/>
    </row>
    <row r="37" spans="1:23" ht="13.5" customHeight="1">
      <c r="A37" s="648"/>
      <c r="B37" s="648"/>
      <c r="C37" s="577" t="s">
        <v>512</v>
      </c>
      <c r="D37" s="577"/>
      <c r="E37" s="651" t="s">
        <v>73</v>
      </c>
      <c r="F37" s="651"/>
      <c r="G37" s="650" t="s">
        <v>513</v>
      </c>
      <c r="H37" s="650"/>
      <c r="I37" s="582" t="s">
        <v>514</v>
      </c>
      <c r="J37" s="582" t="s">
        <v>514</v>
      </c>
      <c r="K37" s="582" t="s">
        <v>480</v>
      </c>
      <c r="L37" s="582" t="s">
        <v>514</v>
      </c>
      <c r="M37" s="582" t="s">
        <v>480</v>
      </c>
      <c r="N37" s="582" t="s">
        <v>480</v>
      </c>
      <c r="O37" s="582" t="s">
        <v>480</v>
      </c>
      <c r="P37" s="582" t="s">
        <v>480</v>
      </c>
      <c r="Q37" s="582" t="s">
        <v>480</v>
      </c>
      <c r="R37" s="582" t="s">
        <v>515</v>
      </c>
      <c r="S37" s="582" t="s">
        <v>515</v>
      </c>
      <c r="T37" s="650" t="s">
        <v>505</v>
      </c>
      <c r="U37" s="650"/>
      <c r="V37" s="650" t="s">
        <v>480</v>
      </c>
      <c r="W37" s="650"/>
    </row>
    <row r="38" spans="1:23" ht="13.5" customHeight="1">
      <c r="A38" s="648"/>
      <c r="B38" s="648"/>
      <c r="C38" s="577"/>
      <c r="D38" s="577" t="s">
        <v>483</v>
      </c>
      <c r="E38" s="651" t="s">
        <v>484</v>
      </c>
      <c r="F38" s="651"/>
      <c r="G38" s="650" t="s">
        <v>516</v>
      </c>
      <c r="H38" s="650"/>
      <c r="I38" s="582" t="s">
        <v>516</v>
      </c>
      <c r="J38" s="582" t="s">
        <v>516</v>
      </c>
      <c r="K38" s="582" t="s">
        <v>480</v>
      </c>
      <c r="L38" s="582" t="s">
        <v>516</v>
      </c>
      <c r="M38" s="582" t="s">
        <v>480</v>
      </c>
      <c r="N38" s="582" t="s">
        <v>480</v>
      </c>
      <c r="O38" s="582" t="s">
        <v>480</v>
      </c>
      <c r="P38" s="582" t="s">
        <v>480</v>
      </c>
      <c r="Q38" s="582" t="s">
        <v>480</v>
      </c>
      <c r="R38" s="582" t="s">
        <v>480</v>
      </c>
      <c r="S38" s="582" t="s">
        <v>480</v>
      </c>
      <c r="T38" s="650" t="s">
        <v>480</v>
      </c>
      <c r="U38" s="650"/>
      <c r="V38" s="650" t="s">
        <v>480</v>
      </c>
      <c r="W38" s="650"/>
    </row>
    <row r="39" spans="1:23" ht="13.5" customHeight="1">
      <c r="A39" s="648"/>
      <c r="B39" s="648"/>
      <c r="C39" s="577"/>
      <c r="D39" s="577" t="s">
        <v>517</v>
      </c>
      <c r="E39" s="651" t="s">
        <v>518</v>
      </c>
      <c r="F39" s="651"/>
      <c r="G39" s="650" t="s">
        <v>519</v>
      </c>
      <c r="H39" s="650"/>
      <c r="I39" s="582" t="s">
        <v>519</v>
      </c>
      <c r="J39" s="582" t="s">
        <v>519</v>
      </c>
      <c r="K39" s="582" t="s">
        <v>480</v>
      </c>
      <c r="L39" s="582" t="s">
        <v>519</v>
      </c>
      <c r="M39" s="582" t="s">
        <v>480</v>
      </c>
      <c r="N39" s="582" t="s">
        <v>480</v>
      </c>
      <c r="O39" s="582" t="s">
        <v>480</v>
      </c>
      <c r="P39" s="582" t="s">
        <v>480</v>
      </c>
      <c r="Q39" s="582" t="s">
        <v>480</v>
      </c>
      <c r="R39" s="582" t="s">
        <v>480</v>
      </c>
      <c r="S39" s="582" t="s">
        <v>480</v>
      </c>
      <c r="T39" s="650" t="s">
        <v>480</v>
      </c>
      <c r="U39" s="650"/>
      <c r="V39" s="650" t="s">
        <v>480</v>
      </c>
      <c r="W39" s="650"/>
    </row>
    <row r="40" spans="1:23" ht="13.5" customHeight="1">
      <c r="A40" s="648"/>
      <c r="B40" s="648"/>
      <c r="C40" s="577"/>
      <c r="D40" s="577" t="s">
        <v>486</v>
      </c>
      <c r="E40" s="651" t="s">
        <v>487</v>
      </c>
      <c r="F40" s="651"/>
      <c r="G40" s="650" t="s">
        <v>520</v>
      </c>
      <c r="H40" s="650"/>
      <c r="I40" s="582" t="s">
        <v>520</v>
      </c>
      <c r="J40" s="582" t="s">
        <v>520</v>
      </c>
      <c r="K40" s="582" t="s">
        <v>480</v>
      </c>
      <c r="L40" s="582" t="s">
        <v>520</v>
      </c>
      <c r="M40" s="582" t="s">
        <v>480</v>
      </c>
      <c r="N40" s="582" t="s">
        <v>480</v>
      </c>
      <c r="O40" s="582" t="s">
        <v>480</v>
      </c>
      <c r="P40" s="582" t="s">
        <v>480</v>
      </c>
      <c r="Q40" s="582" t="s">
        <v>480</v>
      </c>
      <c r="R40" s="582" t="s">
        <v>480</v>
      </c>
      <c r="S40" s="582" t="s">
        <v>480</v>
      </c>
      <c r="T40" s="650" t="s">
        <v>480</v>
      </c>
      <c r="U40" s="650"/>
      <c r="V40" s="650" t="s">
        <v>480</v>
      </c>
      <c r="W40" s="650"/>
    </row>
    <row r="41" spans="1:23" ht="13.5" customHeight="1">
      <c r="A41" s="648"/>
      <c r="B41" s="648"/>
      <c r="C41" s="577"/>
      <c r="D41" s="577" t="s">
        <v>494</v>
      </c>
      <c r="E41" s="651" t="s">
        <v>495</v>
      </c>
      <c r="F41" s="651"/>
      <c r="G41" s="650" t="s">
        <v>521</v>
      </c>
      <c r="H41" s="650"/>
      <c r="I41" s="582" t="s">
        <v>521</v>
      </c>
      <c r="J41" s="582" t="s">
        <v>521</v>
      </c>
      <c r="K41" s="582" t="s">
        <v>480</v>
      </c>
      <c r="L41" s="582" t="s">
        <v>521</v>
      </c>
      <c r="M41" s="582" t="s">
        <v>480</v>
      </c>
      <c r="N41" s="582" t="s">
        <v>480</v>
      </c>
      <c r="O41" s="582" t="s">
        <v>480</v>
      </c>
      <c r="P41" s="582" t="s">
        <v>480</v>
      </c>
      <c r="Q41" s="582" t="s">
        <v>480</v>
      </c>
      <c r="R41" s="582" t="s">
        <v>480</v>
      </c>
      <c r="S41" s="582" t="s">
        <v>480</v>
      </c>
      <c r="T41" s="650" t="s">
        <v>480</v>
      </c>
      <c r="U41" s="650"/>
      <c r="V41" s="650" t="s">
        <v>480</v>
      </c>
      <c r="W41" s="650"/>
    </row>
    <row r="42" spans="1:23" ht="13.5" customHeight="1">
      <c r="A42" s="648"/>
      <c r="B42" s="648"/>
      <c r="C42" s="577"/>
      <c r="D42" s="577" t="s">
        <v>522</v>
      </c>
      <c r="E42" s="651" t="s">
        <v>523</v>
      </c>
      <c r="F42" s="651"/>
      <c r="G42" s="650" t="s">
        <v>524</v>
      </c>
      <c r="H42" s="650"/>
      <c r="I42" s="582" t="s">
        <v>480</v>
      </c>
      <c r="J42" s="582" t="s">
        <v>480</v>
      </c>
      <c r="K42" s="582" t="s">
        <v>480</v>
      </c>
      <c r="L42" s="582" t="s">
        <v>480</v>
      </c>
      <c r="M42" s="582" t="s">
        <v>480</v>
      </c>
      <c r="N42" s="582" t="s">
        <v>480</v>
      </c>
      <c r="O42" s="582" t="s">
        <v>480</v>
      </c>
      <c r="P42" s="582" t="s">
        <v>480</v>
      </c>
      <c r="Q42" s="582" t="s">
        <v>480</v>
      </c>
      <c r="R42" s="582" t="s">
        <v>524</v>
      </c>
      <c r="S42" s="582" t="s">
        <v>524</v>
      </c>
      <c r="T42" s="650" t="s">
        <v>480</v>
      </c>
      <c r="U42" s="650"/>
      <c r="V42" s="650" t="s">
        <v>480</v>
      </c>
      <c r="W42" s="650"/>
    </row>
    <row r="43" spans="1:23" ht="13.5" customHeight="1">
      <c r="A43" s="648"/>
      <c r="B43" s="648"/>
      <c r="C43" s="577"/>
      <c r="D43" s="577" t="s">
        <v>525</v>
      </c>
      <c r="E43" s="651" t="s">
        <v>523</v>
      </c>
      <c r="F43" s="651"/>
      <c r="G43" s="650" t="s">
        <v>526</v>
      </c>
      <c r="H43" s="650"/>
      <c r="I43" s="582" t="s">
        <v>480</v>
      </c>
      <c r="J43" s="582" t="s">
        <v>480</v>
      </c>
      <c r="K43" s="582" t="s">
        <v>480</v>
      </c>
      <c r="L43" s="582" t="s">
        <v>480</v>
      </c>
      <c r="M43" s="582" t="s">
        <v>480</v>
      </c>
      <c r="N43" s="582" t="s">
        <v>480</v>
      </c>
      <c r="O43" s="582" t="s">
        <v>480</v>
      </c>
      <c r="P43" s="582" t="s">
        <v>480</v>
      </c>
      <c r="Q43" s="582" t="s">
        <v>480</v>
      </c>
      <c r="R43" s="582" t="s">
        <v>526</v>
      </c>
      <c r="S43" s="582" t="s">
        <v>526</v>
      </c>
      <c r="T43" s="650" t="s">
        <v>526</v>
      </c>
      <c r="U43" s="650"/>
      <c r="V43" s="650" t="s">
        <v>480</v>
      </c>
      <c r="W43" s="650"/>
    </row>
    <row r="44" spans="1:23" ht="13.5" customHeight="1">
      <c r="A44" s="648"/>
      <c r="B44" s="648"/>
      <c r="C44" s="577"/>
      <c r="D44" s="577" t="s">
        <v>527</v>
      </c>
      <c r="E44" s="651" t="s">
        <v>523</v>
      </c>
      <c r="F44" s="651"/>
      <c r="G44" s="650" t="s">
        <v>526</v>
      </c>
      <c r="H44" s="650"/>
      <c r="I44" s="582" t="s">
        <v>480</v>
      </c>
      <c r="J44" s="582" t="s">
        <v>480</v>
      </c>
      <c r="K44" s="582" t="s">
        <v>480</v>
      </c>
      <c r="L44" s="582" t="s">
        <v>480</v>
      </c>
      <c r="M44" s="582" t="s">
        <v>480</v>
      </c>
      <c r="N44" s="582" t="s">
        <v>480</v>
      </c>
      <c r="O44" s="582" t="s">
        <v>480</v>
      </c>
      <c r="P44" s="582" t="s">
        <v>480</v>
      </c>
      <c r="Q44" s="582" t="s">
        <v>480</v>
      </c>
      <c r="R44" s="582" t="s">
        <v>526</v>
      </c>
      <c r="S44" s="582" t="s">
        <v>526</v>
      </c>
      <c r="T44" s="650" t="s">
        <v>526</v>
      </c>
      <c r="U44" s="650"/>
      <c r="V44" s="650" t="s">
        <v>480</v>
      </c>
      <c r="W44" s="650"/>
    </row>
    <row r="45" spans="1:23" ht="13.5" customHeight="1">
      <c r="A45" s="648" t="s">
        <v>528</v>
      </c>
      <c r="B45" s="648"/>
      <c r="C45" s="577"/>
      <c r="D45" s="577"/>
      <c r="E45" s="651" t="s">
        <v>80</v>
      </c>
      <c r="F45" s="651"/>
      <c r="G45" s="650" t="s">
        <v>529</v>
      </c>
      <c r="H45" s="650"/>
      <c r="I45" s="582" t="s">
        <v>530</v>
      </c>
      <c r="J45" s="582" t="s">
        <v>530</v>
      </c>
      <c r="K45" s="582" t="s">
        <v>531</v>
      </c>
      <c r="L45" s="582" t="s">
        <v>532</v>
      </c>
      <c r="M45" s="582" t="s">
        <v>480</v>
      </c>
      <c r="N45" s="582" t="s">
        <v>480</v>
      </c>
      <c r="O45" s="582" t="s">
        <v>480</v>
      </c>
      <c r="P45" s="582" t="s">
        <v>480</v>
      </c>
      <c r="Q45" s="582" t="s">
        <v>480</v>
      </c>
      <c r="R45" s="582" t="s">
        <v>533</v>
      </c>
      <c r="S45" s="582" t="s">
        <v>534</v>
      </c>
      <c r="T45" s="650" t="s">
        <v>535</v>
      </c>
      <c r="U45" s="650"/>
      <c r="V45" s="650" t="s">
        <v>536</v>
      </c>
      <c r="W45" s="650"/>
    </row>
    <row r="46" spans="1:23" ht="13.5" customHeight="1">
      <c r="A46" s="648"/>
      <c r="B46" s="648"/>
      <c r="C46" s="577" t="s">
        <v>537</v>
      </c>
      <c r="D46" s="577"/>
      <c r="E46" s="651" t="s">
        <v>538</v>
      </c>
      <c r="F46" s="651"/>
      <c r="G46" s="650" t="s">
        <v>539</v>
      </c>
      <c r="H46" s="650"/>
      <c r="I46" s="582" t="s">
        <v>540</v>
      </c>
      <c r="J46" s="582" t="s">
        <v>540</v>
      </c>
      <c r="K46" s="582" t="s">
        <v>531</v>
      </c>
      <c r="L46" s="582" t="s">
        <v>541</v>
      </c>
      <c r="M46" s="582" t="s">
        <v>480</v>
      </c>
      <c r="N46" s="582" t="s">
        <v>480</v>
      </c>
      <c r="O46" s="582" t="s">
        <v>480</v>
      </c>
      <c r="P46" s="582" t="s">
        <v>480</v>
      </c>
      <c r="Q46" s="582" t="s">
        <v>480</v>
      </c>
      <c r="R46" s="582" t="s">
        <v>542</v>
      </c>
      <c r="S46" s="582" t="s">
        <v>542</v>
      </c>
      <c r="T46" s="650" t="s">
        <v>480</v>
      </c>
      <c r="U46" s="650"/>
      <c r="V46" s="650" t="s">
        <v>480</v>
      </c>
      <c r="W46" s="650"/>
    </row>
    <row r="47" spans="1:23" ht="13.5" customHeight="1">
      <c r="A47" s="648"/>
      <c r="B47" s="648"/>
      <c r="C47" s="577"/>
      <c r="D47" s="577" t="s">
        <v>543</v>
      </c>
      <c r="E47" s="651" t="s">
        <v>544</v>
      </c>
      <c r="F47" s="651"/>
      <c r="G47" s="650" t="s">
        <v>531</v>
      </c>
      <c r="H47" s="650"/>
      <c r="I47" s="582" t="s">
        <v>531</v>
      </c>
      <c r="J47" s="582" t="s">
        <v>531</v>
      </c>
      <c r="K47" s="582" t="s">
        <v>531</v>
      </c>
      <c r="L47" s="582" t="s">
        <v>480</v>
      </c>
      <c r="M47" s="582" t="s">
        <v>480</v>
      </c>
      <c r="N47" s="582" t="s">
        <v>480</v>
      </c>
      <c r="O47" s="582" t="s">
        <v>480</v>
      </c>
      <c r="P47" s="582" t="s">
        <v>480</v>
      </c>
      <c r="Q47" s="582" t="s">
        <v>480</v>
      </c>
      <c r="R47" s="582" t="s">
        <v>480</v>
      </c>
      <c r="S47" s="582" t="s">
        <v>480</v>
      </c>
      <c r="T47" s="650" t="s">
        <v>480</v>
      </c>
      <c r="U47" s="650"/>
      <c r="V47" s="650" t="s">
        <v>480</v>
      </c>
      <c r="W47" s="650"/>
    </row>
    <row r="48" spans="1:23" ht="13.5" customHeight="1">
      <c r="A48" s="648"/>
      <c r="B48" s="648"/>
      <c r="C48" s="577"/>
      <c r="D48" s="577" t="s">
        <v>486</v>
      </c>
      <c r="E48" s="651" t="s">
        <v>487</v>
      </c>
      <c r="F48" s="651"/>
      <c r="G48" s="650" t="s">
        <v>545</v>
      </c>
      <c r="H48" s="650"/>
      <c r="I48" s="582" t="s">
        <v>545</v>
      </c>
      <c r="J48" s="582" t="s">
        <v>545</v>
      </c>
      <c r="K48" s="582" t="s">
        <v>480</v>
      </c>
      <c r="L48" s="582" t="s">
        <v>545</v>
      </c>
      <c r="M48" s="582" t="s">
        <v>480</v>
      </c>
      <c r="N48" s="582" t="s">
        <v>480</v>
      </c>
      <c r="O48" s="582" t="s">
        <v>480</v>
      </c>
      <c r="P48" s="582" t="s">
        <v>480</v>
      </c>
      <c r="Q48" s="582" t="s">
        <v>480</v>
      </c>
      <c r="R48" s="582" t="s">
        <v>480</v>
      </c>
      <c r="S48" s="582" t="s">
        <v>480</v>
      </c>
      <c r="T48" s="650" t="s">
        <v>480</v>
      </c>
      <c r="U48" s="650"/>
      <c r="V48" s="650" t="s">
        <v>480</v>
      </c>
      <c r="W48" s="650"/>
    </row>
    <row r="49" spans="1:23" ht="13.5" customHeight="1">
      <c r="A49" s="648"/>
      <c r="B49" s="648"/>
      <c r="C49" s="577"/>
      <c r="D49" s="577" t="s">
        <v>494</v>
      </c>
      <c r="E49" s="651" t="s">
        <v>495</v>
      </c>
      <c r="F49" s="651"/>
      <c r="G49" s="650" t="s">
        <v>546</v>
      </c>
      <c r="H49" s="650"/>
      <c r="I49" s="582" t="s">
        <v>546</v>
      </c>
      <c r="J49" s="582" t="s">
        <v>546</v>
      </c>
      <c r="K49" s="582" t="s">
        <v>480</v>
      </c>
      <c r="L49" s="582" t="s">
        <v>546</v>
      </c>
      <c r="M49" s="582" t="s">
        <v>480</v>
      </c>
      <c r="N49" s="582" t="s">
        <v>480</v>
      </c>
      <c r="O49" s="582" t="s">
        <v>480</v>
      </c>
      <c r="P49" s="582" t="s">
        <v>480</v>
      </c>
      <c r="Q49" s="582" t="s">
        <v>480</v>
      </c>
      <c r="R49" s="582" t="s">
        <v>480</v>
      </c>
      <c r="S49" s="582" t="s">
        <v>480</v>
      </c>
      <c r="T49" s="650" t="s">
        <v>480</v>
      </c>
      <c r="U49" s="650"/>
      <c r="V49" s="650" t="s">
        <v>480</v>
      </c>
      <c r="W49" s="650"/>
    </row>
    <row r="50" spans="1:23" ht="17.25" customHeight="1">
      <c r="A50" s="648"/>
      <c r="B50" s="648"/>
      <c r="C50" s="577"/>
      <c r="D50" s="577" t="s">
        <v>547</v>
      </c>
      <c r="E50" s="651" t="s">
        <v>548</v>
      </c>
      <c r="F50" s="651"/>
      <c r="G50" s="650" t="s">
        <v>542</v>
      </c>
      <c r="H50" s="650"/>
      <c r="I50" s="582" t="s">
        <v>480</v>
      </c>
      <c r="J50" s="582" t="s">
        <v>480</v>
      </c>
      <c r="K50" s="582" t="s">
        <v>480</v>
      </c>
      <c r="L50" s="582" t="s">
        <v>480</v>
      </c>
      <c r="M50" s="582" t="s">
        <v>480</v>
      </c>
      <c r="N50" s="582" t="s">
        <v>480</v>
      </c>
      <c r="O50" s="582" t="s">
        <v>480</v>
      </c>
      <c r="P50" s="582" t="s">
        <v>480</v>
      </c>
      <c r="Q50" s="582" t="s">
        <v>480</v>
      </c>
      <c r="R50" s="582" t="s">
        <v>542</v>
      </c>
      <c r="S50" s="582" t="s">
        <v>542</v>
      </c>
      <c r="T50" s="650" t="s">
        <v>480</v>
      </c>
      <c r="U50" s="650"/>
      <c r="V50" s="650" t="s">
        <v>480</v>
      </c>
      <c r="W50" s="650"/>
    </row>
    <row r="51" spans="1:23" ht="13.5" customHeight="1">
      <c r="A51" s="648"/>
      <c r="B51" s="648"/>
      <c r="C51" s="577" t="s">
        <v>549</v>
      </c>
      <c r="D51" s="577"/>
      <c r="E51" s="651" t="s">
        <v>550</v>
      </c>
      <c r="F51" s="651"/>
      <c r="G51" s="650" t="s">
        <v>536</v>
      </c>
      <c r="H51" s="650"/>
      <c r="I51" s="582" t="s">
        <v>480</v>
      </c>
      <c r="J51" s="582" t="s">
        <v>480</v>
      </c>
      <c r="K51" s="582" t="s">
        <v>480</v>
      </c>
      <c r="L51" s="582" t="s">
        <v>480</v>
      </c>
      <c r="M51" s="582" t="s">
        <v>480</v>
      </c>
      <c r="N51" s="582" t="s">
        <v>480</v>
      </c>
      <c r="O51" s="582" t="s">
        <v>480</v>
      </c>
      <c r="P51" s="582" t="s">
        <v>480</v>
      </c>
      <c r="Q51" s="582" t="s">
        <v>480</v>
      </c>
      <c r="R51" s="582" t="s">
        <v>536</v>
      </c>
      <c r="S51" s="582" t="s">
        <v>480</v>
      </c>
      <c r="T51" s="650" t="s">
        <v>480</v>
      </c>
      <c r="U51" s="650"/>
      <c r="V51" s="650" t="s">
        <v>536</v>
      </c>
      <c r="W51" s="650"/>
    </row>
    <row r="52" spans="1:23" ht="30" customHeight="1">
      <c r="A52" s="648"/>
      <c r="B52" s="648"/>
      <c r="C52" s="577"/>
      <c r="D52" s="577" t="s">
        <v>551</v>
      </c>
      <c r="E52" s="651" t="s">
        <v>552</v>
      </c>
      <c r="F52" s="651"/>
      <c r="G52" s="650" t="s">
        <v>536</v>
      </c>
      <c r="H52" s="650"/>
      <c r="I52" s="582" t="s">
        <v>480</v>
      </c>
      <c r="J52" s="582" t="s">
        <v>480</v>
      </c>
      <c r="K52" s="582" t="s">
        <v>480</v>
      </c>
      <c r="L52" s="582" t="s">
        <v>480</v>
      </c>
      <c r="M52" s="582" t="s">
        <v>480</v>
      </c>
      <c r="N52" s="582" t="s">
        <v>480</v>
      </c>
      <c r="O52" s="582" t="s">
        <v>480</v>
      </c>
      <c r="P52" s="582" t="s">
        <v>480</v>
      </c>
      <c r="Q52" s="582" t="s">
        <v>480</v>
      </c>
      <c r="R52" s="582" t="s">
        <v>536</v>
      </c>
      <c r="S52" s="582" t="s">
        <v>480</v>
      </c>
      <c r="T52" s="650" t="s">
        <v>480</v>
      </c>
      <c r="U52" s="650"/>
      <c r="V52" s="650" t="s">
        <v>536</v>
      </c>
      <c r="W52" s="650"/>
    </row>
    <row r="53" spans="1:23" ht="13.5" customHeight="1">
      <c r="A53" s="648"/>
      <c r="B53" s="648"/>
      <c r="C53" s="577" t="s">
        <v>553</v>
      </c>
      <c r="D53" s="577"/>
      <c r="E53" s="651" t="s">
        <v>88</v>
      </c>
      <c r="F53" s="651"/>
      <c r="G53" s="650" t="s">
        <v>554</v>
      </c>
      <c r="H53" s="650"/>
      <c r="I53" s="582" t="s">
        <v>555</v>
      </c>
      <c r="J53" s="582" t="s">
        <v>555</v>
      </c>
      <c r="K53" s="582" t="s">
        <v>480</v>
      </c>
      <c r="L53" s="582" t="s">
        <v>555</v>
      </c>
      <c r="M53" s="582" t="s">
        <v>480</v>
      </c>
      <c r="N53" s="582" t="s">
        <v>480</v>
      </c>
      <c r="O53" s="582" t="s">
        <v>480</v>
      </c>
      <c r="P53" s="582" t="s">
        <v>480</v>
      </c>
      <c r="Q53" s="582" t="s">
        <v>480</v>
      </c>
      <c r="R53" s="582" t="s">
        <v>556</v>
      </c>
      <c r="S53" s="582" t="s">
        <v>556</v>
      </c>
      <c r="T53" s="650" t="s">
        <v>535</v>
      </c>
      <c r="U53" s="650"/>
      <c r="V53" s="650" t="s">
        <v>480</v>
      </c>
      <c r="W53" s="650"/>
    </row>
    <row r="54" spans="1:23" ht="13.5" customHeight="1">
      <c r="A54" s="648"/>
      <c r="B54" s="648"/>
      <c r="C54" s="577"/>
      <c r="D54" s="577" t="s">
        <v>483</v>
      </c>
      <c r="E54" s="651" t="s">
        <v>484</v>
      </c>
      <c r="F54" s="651"/>
      <c r="G54" s="650" t="s">
        <v>557</v>
      </c>
      <c r="H54" s="650"/>
      <c r="I54" s="582" t="s">
        <v>557</v>
      </c>
      <c r="J54" s="582" t="s">
        <v>557</v>
      </c>
      <c r="K54" s="582" t="s">
        <v>480</v>
      </c>
      <c r="L54" s="582" t="s">
        <v>557</v>
      </c>
      <c r="M54" s="582" t="s">
        <v>480</v>
      </c>
      <c r="N54" s="582" t="s">
        <v>480</v>
      </c>
      <c r="O54" s="582" t="s">
        <v>480</v>
      </c>
      <c r="P54" s="582" t="s">
        <v>480</v>
      </c>
      <c r="Q54" s="582" t="s">
        <v>480</v>
      </c>
      <c r="R54" s="582" t="s">
        <v>480</v>
      </c>
      <c r="S54" s="582" t="s">
        <v>480</v>
      </c>
      <c r="T54" s="650" t="s">
        <v>480</v>
      </c>
      <c r="U54" s="650"/>
      <c r="V54" s="650" t="s">
        <v>480</v>
      </c>
      <c r="W54" s="650"/>
    </row>
    <row r="55" spans="1:23" ht="13.5" customHeight="1">
      <c r="A55" s="648"/>
      <c r="B55" s="648"/>
      <c r="C55" s="577"/>
      <c r="D55" s="577" t="s">
        <v>558</v>
      </c>
      <c r="E55" s="651" t="s">
        <v>559</v>
      </c>
      <c r="F55" s="651"/>
      <c r="G55" s="650" t="s">
        <v>560</v>
      </c>
      <c r="H55" s="650"/>
      <c r="I55" s="582" t="s">
        <v>560</v>
      </c>
      <c r="J55" s="582" t="s">
        <v>560</v>
      </c>
      <c r="K55" s="582" t="s">
        <v>480</v>
      </c>
      <c r="L55" s="582" t="s">
        <v>560</v>
      </c>
      <c r="M55" s="582" t="s">
        <v>480</v>
      </c>
      <c r="N55" s="582" t="s">
        <v>480</v>
      </c>
      <c r="O55" s="582" t="s">
        <v>480</v>
      </c>
      <c r="P55" s="582" t="s">
        <v>480</v>
      </c>
      <c r="Q55" s="582" t="s">
        <v>480</v>
      </c>
      <c r="R55" s="582" t="s">
        <v>480</v>
      </c>
      <c r="S55" s="582" t="s">
        <v>480</v>
      </c>
      <c r="T55" s="650" t="s">
        <v>480</v>
      </c>
      <c r="U55" s="650"/>
      <c r="V55" s="650" t="s">
        <v>480</v>
      </c>
      <c r="W55" s="650"/>
    </row>
    <row r="56" spans="1:23" ht="13.5" customHeight="1">
      <c r="A56" s="648"/>
      <c r="B56" s="648"/>
      <c r="C56" s="577"/>
      <c r="D56" s="577" t="s">
        <v>517</v>
      </c>
      <c r="E56" s="651" t="s">
        <v>518</v>
      </c>
      <c r="F56" s="651"/>
      <c r="G56" s="650" t="s">
        <v>561</v>
      </c>
      <c r="H56" s="650"/>
      <c r="I56" s="582" t="s">
        <v>561</v>
      </c>
      <c r="J56" s="582" t="s">
        <v>561</v>
      </c>
      <c r="K56" s="582" t="s">
        <v>480</v>
      </c>
      <c r="L56" s="582" t="s">
        <v>561</v>
      </c>
      <c r="M56" s="582" t="s">
        <v>480</v>
      </c>
      <c r="N56" s="582" t="s">
        <v>480</v>
      </c>
      <c r="O56" s="582" t="s">
        <v>480</v>
      </c>
      <c r="P56" s="582" t="s">
        <v>480</v>
      </c>
      <c r="Q56" s="582" t="s">
        <v>480</v>
      </c>
      <c r="R56" s="582" t="s">
        <v>480</v>
      </c>
      <c r="S56" s="582" t="s">
        <v>480</v>
      </c>
      <c r="T56" s="650" t="s">
        <v>480</v>
      </c>
      <c r="U56" s="650"/>
      <c r="V56" s="650" t="s">
        <v>480</v>
      </c>
      <c r="W56" s="650"/>
    </row>
    <row r="57" spans="1:23" ht="13.5" customHeight="1">
      <c r="A57" s="648"/>
      <c r="B57" s="648"/>
      <c r="C57" s="577"/>
      <c r="D57" s="577" t="s">
        <v>486</v>
      </c>
      <c r="E57" s="651" t="s">
        <v>487</v>
      </c>
      <c r="F57" s="651"/>
      <c r="G57" s="650" t="s">
        <v>562</v>
      </c>
      <c r="H57" s="650"/>
      <c r="I57" s="582" t="s">
        <v>562</v>
      </c>
      <c r="J57" s="582" t="s">
        <v>562</v>
      </c>
      <c r="K57" s="582" t="s">
        <v>480</v>
      </c>
      <c r="L57" s="582" t="s">
        <v>562</v>
      </c>
      <c r="M57" s="582" t="s">
        <v>480</v>
      </c>
      <c r="N57" s="582" t="s">
        <v>480</v>
      </c>
      <c r="O57" s="582" t="s">
        <v>480</v>
      </c>
      <c r="P57" s="582" t="s">
        <v>480</v>
      </c>
      <c r="Q57" s="582" t="s">
        <v>480</v>
      </c>
      <c r="R57" s="582" t="s">
        <v>480</v>
      </c>
      <c r="S57" s="582" t="s">
        <v>480</v>
      </c>
      <c r="T57" s="650" t="s">
        <v>480</v>
      </c>
      <c r="U57" s="650"/>
      <c r="V57" s="650" t="s">
        <v>480</v>
      </c>
      <c r="W57" s="650"/>
    </row>
    <row r="58" spans="1:23" ht="13.5" customHeight="1">
      <c r="A58" s="648"/>
      <c r="B58" s="648"/>
      <c r="C58" s="577"/>
      <c r="D58" s="577" t="s">
        <v>494</v>
      </c>
      <c r="E58" s="651" t="s">
        <v>495</v>
      </c>
      <c r="F58" s="651"/>
      <c r="G58" s="650" t="s">
        <v>563</v>
      </c>
      <c r="H58" s="650"/>
      <c r="I58" s="582" t="s">
        <v>563</v>
      </c>
      <c r="J58" s="582" t="s">
        <v>563</v>
      </c>
      <c r="K58" s="582" t="s">
        <v>480</v>
      </c>
      <c r="L58" s="582" t="s">
        <v>563</v>
      </c>
      <c r="M58" s="582" t="s">
        <v>480</v>
      </c>
      <c r="N58" s="582" t="s">
        <v>480</v>
      </c>
      <c r="O58" s="582" t="s">
        <v>480</v>
      </c>
      <c r="P58" s="582" t="s">
        <v>480</v>
      </c>
      <c r="Q58" s="582" t="s">
        <v>480</v>
      </c>
      <c r="R58" s="582" t="s">
        <v>480</v>
      </c>
      <c r="S58" s="582" t="s">
        <v>480</v>
      </c>
      <c r="T58" s="650" t="s">
        <v>480</v>
      </c>
      <c r="U58" s="650"/>
      <c r="V58" s="650" t="s">
        <v>480</v>
      </c>
      <c r="W58" s="650"/>
    </row>
    <row r="59" spans="1:23" ht="13.5" customHeight="1">
      <c r="A59" s="648"/>
      <c r="B59" s="648"/>
      <c r="C59" s="577"/>
      <c r="D59" s="577" t="s">
        <v>564</v>
      </c>
      <c r="E59" s="651" t="s">
        <v>565</v>
      </c>
      <c r="F59" s="651"/>
      <c r="G59" s="650" t="s">
        <v>521</v>
      </c>
      <c r="H59" s="650"/>
      <c r="I59" s="582" t="s">
        <v>521</v>
      </c>
      <c r="J59" s="582" t="s">
        <v>521</v>
      </c>
      <c r="K59" s="582" t="s">
        <v>480</v>
      </c>
      <c r="L59" s="582" t="s">
        <v>521</v>
      </c>
      <c r="M59" s="582" t="s">
        <v>480</v>
      </c>
      <c r="N59" s="582" t="s">
        <v>480</v>
      </c>
      <c r="O59" s="582" t="s">
        <v>480</v>
      </c>
      <c r="P59" s="582" t="s">
        <v>480</v>
      </c>
      <c r="Q59" s="582" t="s">
        <v>480</v>
      </c>
      <c r="R59" s="582" t="s">
        <v>480</v>
      </c>
      <c r="S59" s="582" t="s">
        <v>480</v>
      </c>
      <c r="T59" s="650" t="s">
        <v>480</v>
      </c>
      <c r="U59" s="650"/>
      <c r="V59" s="650" t="s">
        <v>480</v>
      </c>
      <c r="W59" s="650"/>
    </row>
    <row r="60" spans="1:23" ht="17.25" customHeight="1">
      <c r="A60" s="648"/>
      <c r="B60" s="648"/>
      <c r="C60" s="577"/>
      <c r="D60" s="577" t="s">
        <v>566</v>
      </c>
      <c r="E60" s="651" t="s">
        <v>567</v>
      </c>
      <c r="F60" s="651"/>
      <c r="G60" s="650" t="s">
        <v>568</v>
      </c>
      <c r="H60" s="650"/>
      <c r="I60" s="582" t="s">
        <v>568</v>
      </c>
      <c r="J60" s="582" t="s">
        <v>568</v>
      </c>
      <c r="K60" s="582" t="s">
        <v>480</v>
      </c>
      <c r="L60" s="582" t="s">
        <v>568</v>
      </c>
      <c r="M60" s="582" t="s">
        <v>480</v>
      </c>
      <c r="N60" s="582" t="s">
        <v>480</v>
      </c>
      <c r="O60" s="582" t="s">
        <v>480</v>
      </c>
      <c r="P60" s="582" t="s">
        <v>480</v>
      </c>
      <c r="Q60" s="582" t="s">
        <v>480</v>
      </c>
      <c r="R60" s="582" t="s">
        <v>480</v>
      </c>
      <c r="S60" s="582" t="s">
        <v>480</v>
      </c>
      <c r="T60" s="650" t="s">
        <v>480</v>
      </c>
      <c r="U60" s="650"/>
      <c r="V60" s="650" t="s">
        <v>480</v>
      </c>
      <c r="W60" s="650"/>
    </row>
    <row r="61" spans="1:23" ht="13.5" customHeight="1">
      <c r="A61" s="648"/>
      <c r="B61" s="648"/>
      <c r="C61" s="577"/>
      <c r="D61" s="577" t="s">
        <v>522</v>
      </c>
      <c r="E61" s="651" t="s">
        <v>523</v>
      </c>
      <c r="F61" s="651"/>
      <c r="G61" s="650" t="s">
        <v>569</v>
      </c>
      <c r="H61" s="650"/>
      <c r="I61" s="582" t="s">
        <v>480</v>
      </c>
      <c r="J61" s="582" t="s">
        <v>480</v>
      </c>
      <c r="K61" s="582" t="s">
        <v>480</v>
      </c>
      <c r="L61" s="582" t="s">
        <v>480</v>
      </c>
      <c r="M61" s="582" t="s">
        <v>480</v>
      </c>
      <c r="N61" s="582" t="s">
        <v>480</v>
      </c>
      <c r="O61" s="582" t="s">
        <v>480</v>
      </c>
      <c r="P61" s="582" t="s">
        <v>480</v>
      </c>
      <c r="Q61" s="582" t="s">
        <v>480</v>
      </c>
      <c r="R61" s="582" t="s">
        <v>569</v>
      </c>
      <c r="S61" s="582" t="s">
        <v>569</v>
      </c>
      <c r="T61" s="650" t="s">
        <v>480</v>
      </c>
      <c r="U61" s="650"/>
      <c r="V61" s="650" t="s">
        <v>480</v>
      </c>
      <c r="W61" s="650"/>
    </row>
    <row r="62" spans="1:23" ht="13.5" customHeight="1">
      <c r="A62" s="648"/>
      <c r="B62" s="648"/>
      <c r="C62" s="577"/>
      <c r="D62" s="577" t="s">
        <v>525</v>
      </c>
      <c r="E62" s="651" t="s">
        <v>523</v>
      </c>
      <c r="F62" s="651"/>
      <c r="G62" s="650" t="s">
        <v>570</v>
      </c>
      <c r="H62" s="650"/>
      <c r="I62" s="582" t="s">
        <v>480</v>
      </c>
      <c r="J62" s="582" t="s">
        <v>480</v>
      </c>
      <c r="K62" s="582" t="s">
        <v>480</v>
      </c>
      <c r="L62" s="582" t="s">
        <v>480</v>
      </c>
      <c r="M62" s="582" t="s">
        <v>480</v>
      </c>
      <c r="N62" s="582" t="s">
        <v>480</v>
      </c>
      <c r="O62" s="582" t="s">
        <v>480</v>
      </c>
      <c r="P62" s="582" t="s">
        <v>480</v>
      </c>
      <c r="Q62" s="582" t="s">
        <v>480</v>
      </c>
      <c r="R62" s="582" t="s">
        <v>570</v>
      </c>
      <c r="S62" s="582" t="s">
        <v>570</v>
      </c>
      <c r="T62" s="650" t="s">
        <v>570</v>
      </c>
      <c r="U62" s="650"/>
      <c r="V62" s="650" t="s">
        <v>480</v>
      </c>
      <c r="W62" s="650"/>
    </row>
    <row r="63" spans="1:23" ht="13.5" customHeight="1">
      <c r="A63" s="648"/>
      <c r="B63" s="648"/>
      <c r="C63" s="577"/>
      <c r="D63" s="577" t="s">
        <v>527</v>
      </c>
      <c r="E63" s="651" t="s">
        <v>523</v>
      </c>
      <c r="F63" s="651"/>
      <c r="G63" s="650" t="s">
        <v>571</v>
      </c>
      <c r="H63" s="650"/>
      <c r="I63" s="582" t="s">
        <v>480</v>
      </c>
      <c r="J63" s="582" t="s">
        <v>480</v>
      </c>
      <c r="K63" s="582" t="s">
        <v>480</v>
      </c>
      <c r="L63" s="582" t="s">
        <v>480</v>
      </c>
      <c r="M63" s="582" t="s">
        <v>480</v>
      </c>
      <c r="N63" s="582" t="s">
        <v>480</v>
      </c>
      <c r="O63" s="582" t="s">
        <v>480</v>
      </c>
      <c r="P63" s="582" t="s">
        <v>480</v>
      </c>
      <c r="Q63" s="582" t="s">
        <v>480</v>
      </c>
      <c r="R63" s="582" t="s">
        <v>571</v>
      </c>
      <c r="S63" s="582" t="s">
        <v>571</v>
      </c>
      <c r="T63" s="650" t="s">
        <v>571</v>
      </c>
      <c r="U63" s="650"/>
      <c r="V63" s="650" t="s">
        <v>480</v>
      </c>
      <c r="W63" s="650"/>
    </row>
    <row r="64" spans="1:25" ht="13.5" customHeight="1">
      <c r="A64" s="648" t="s">
        <v>572</v>
      </c>
      <c r="B64" s="648"/>
      <c r="C64" s="577"/>
      <c r="D64" s="577"/>
      <c r="E64" s="651" t="s">
        <v>573</v>
      </c>
      <c r="F64" s="651"/>
      <c r="G64" s="654">
        <f>6820000+170000</f>
        <v>6990000</v>
      </c>
      <c r="H64" s="654"/>
      <c r="I64" s="584" t="s">
        <v>574</v>
      </c>
      <c r="J64" s="584" t="s">
        <v>575</v>
      </c>
      <c r="K64" s="584" t="s">
        <v>576</v>
      </c>
      <c r="L64" s="584" t="s">
        <v>577</v>
      </c>
      <c r="M64" s="584" t="s">
        <v>480</v>
      </c>
      <c r="N64" s="584" t="s">
        <v>578</v>
      </c>
      <c r="O64" s="584" t="s">
        <v>480</v>
      </c>
      <c r="P64" s="584" t="s">
        <v>480</v>
      </c>
      <c r="Q64" s="584" t="s">
        <v>480</v>
      </c>
      <c r="R64" s="584" t="str">
        <f>+R72</f>
        <v>270 000,00</v>
      </c>
      <c r="S64" s="584" t="str">
        <f>+S72</f>
        <v>270 000,00</v>
      </c>
      <c r="T64" s="654" t="s">
        <v>480</v>
      </c>
      <c r="U64" s="654"/>
      <c r="V64" s="654" t="s">
        <v>480</v>
      </c>
      <c r="W64" s="654"/>
      <c r="X64" s="576"/>
      <c r="Y64" s="576"/>
    </row>
    <row r="65" spans="1:23" ht="13.5" customHeight="1">
      <c r="A65" s="648"/>
      <c r="B65" s="648"/>
      <c r="C65" s="577" t="s">
        <v>579</v>
      </c>
      <c r="D65" s="577"/>
      <c r="E65" s="651" t="s">
        <v>252</v>
      </c>
      <c r="F65" s="651"/>
      <c r="G65" s="650" t="s">
        <v>580</v>
      </c>
      <c r="H65" s="650"/>
      <c r="I65" s="582" t="s">
        <v>580</v>
      </c>
      <c r="J65" s="582" t="s">
        <v>581</v>
      </c>
      <c r="K65" s="582" t="s">
        <v>582</v>
      </c>
      <c r="L65" s="582" t="s">
        <v>583</v>
      </c>
      <c r="M65" s="582" t="s">
        <v>480</v>
      </c>
      <c r="N65" s="582" t="s">
        <v>584</v>
      </c>
      <c r="O65" s="582" t="s">
        <v>480</v>
      </c>
      <c r="P65" s="582" t="s">
        <v>480</v>
      </c>
      <c r="Q65" s="582" t="s">
        <v>480</v>
      </c>
      <c r="R65" s="582" t="s">
        <v>480</v>
      </c>
      <c r="S65" s="582" t="s">
        <v>480</v>
      </c>
      <c r="T65" s="650" t="s">
        <v>480</v>
      </c>
      <c r="U65" s="650"/>
      <c r="V65" s="650" t="s">
        <v>480</v>
      </c>
      <c r="W65" s="650"/>
    </row>
    <row r="66" spans="1:23" ht="13.5" customHeight="1">
      <c r="A66" s="648"/>
      <c r="B66" s="648"/>
      <c r="C66" s="577"/>
      <c r="D66" s="577" t="s">
        <v>585</v>
      </c>
      <c r="E66" s="651" t="s">
        <v>586</v>
      </c>
      <c r="F66" s="651"/>
      <c r="G66" s="650" t="s">
        <v>584</v>
      </c>
      <c r="H66" s="650"/>
      <c r="I66" s="582" t="s">
        <v>584</v>
      </c>
      <c r="J66" s="582" t="s">
        <v>480</v>
      </c>
      <c r="K66" s="582" t="s">
        <v>480</v>
      </c>
      <c r="L66" s="582" t="s">
        <v>480</v>
      </c>
      <c r="M66" s="582" t="s">
        <v>480</v>
      </c>
      <c r="N66" s="582" t="s">
        <v>584</v>
      </c>
      <c r="O66" s="582" t="s">
        <v>480</v>
      </c>
      <c r="P66" s="582" t="s">
        <v>480</v>
      </c>
      <c r="Q66" s="582" t="s">
        <v>480</v>
      </c>
      <c r="R66" s="582" t="s">
        <v>480</v>
      </c>
      <c r="S66" s="582" t="s">
        <v>480</v>
      </c>
      <c r="T66" s="650" t="s">
        <v>480</v>
      </c>
      <c r="U66" s="650"/>
      <c r="V66" s="650" t="s">
        <v>480</v>
      </c>
      <c r="W66" s="650"/>
    </row>
    <row r="67" spans="1:23" ht="13.5" customHeight="1">
      <c r="A67" s="648"/>
      <c r="B67" s="648"/>
      <c r="C67" s="577"/>
      <c r="D67" s="577" t="s">
        <v>543</v>
      </c>
      <c r="E67" s="651" t="s">
        <v>544</v>
      </c>
      <c r="F67" s="651"/>
      <c r="G67" s="650" t="s">
        <v>582</v>
      </c>
      <c r="H67" s="650"/>
      <c r="I67" s="582" t="s">
        <v>582</v>
      </c>
      <c r="J67" s="582" t="s">
        <v>582</v>
      </c>
      <c r="K67" s="582" t="s">
        <v>582</v>
      </c>
      <c r="L67" s="582" t="s">
        <v>480</v>
      </c>
      <c r="M67" s="582" t="s">
        <v>480</v>
      </c>
      <c r="N67" s="582" t="s">
        <v>480</v>
      </c>
      <c r="O67" s="582" t="s">
        <v>480</v>
      </c>
      <c r="P67" s="582" t="s">
        <v>480</v>
      </c>
      <c r="Q67" s="582" t="s">
        <v>480</v>
      </c>
      <c r="R67" s="582" t="s">
        <v>480</v>
      </c>
      <c r="S67" s="582" t="s">
        <v>480</v>
      </c>
      <c r="T67" s="650" t="s">
        <v>480</v>
      </c>
      <c r="U67" s="650"/>
      <c r="V67" s="650" t="s">
        <v>480</v>
      </c>
      <c r="W67" s="650"/>
    </row>
    <row r="68" spans="1:23" ht="13.5" customHeight="1">
      <c r="A68" s="648"/>
      <c r="B68" s="648"/>
      <c r="C68" s="577"/>
      <c r="D68" s="577" t="s">
        <v>483</v>
      </c>
      <c r="E68" s="651" t="s">
        <v>484</v>
      </c>
      <c r="F68" s="651"/>
      <c r="G68" s="650" t="s">
        <v>587</v>
      </c>
      <c r="H68" s="650"/>
      <c r="I68" s="582" t="s">
        <v>587</v>
      </c>
      <c r="J68" s="582" t="s">
        <v>587</v>
      </c>
      <c r="K68" s="582" t="s">
        <v>480</v>
      </c>
      <c r="L68" s="582" t="s">
        <v>587</v>
      </c>
      <c r="M68" s="582" t="s">
        <v>480</v>
      </c>
      <c r="N68" s="582" t="s">
        <v>480</v>
      </c>
      <c r="O68" s="582" t="s">
        <v>480</v>
      </c>
      <c r="P68" s="582" t="s">
        <v>480</v>
      </c>
      <c r="Q68" s="582" t="s">
        <v>480</v>
      </c>
      <c r="R68" s="582" t="s">
        <v>480</v>
      </c>
      <c r="S68" s="582" t="s">
        <v>480</v>
      </c>
      <c r="T68" s="650" t="s">
        <v>480</v>
      </c>
      <c r="U68" s="650"/>
      <c r="V68" s="650" t="s">
        <v>480</v>
      </c>
      <c r="W68" s="650"/>
    </row>
    <row r="69" spans="1:23" ht="13.5" customHeight="1">
      <c r="A69" s="648"/>
      <c r="B69" s="648"/>
      <c r="C69" s="577"/>
      <c r="D69" s="577" t="s">
        <v>486</v>
      </c>
      <c r="E69" s="651" t="s">
        <v>487</v>
      </c>
      <c r="F69" s="651"/>
      <c r="G69" s="650" t="s">
        <v>582</v>
      </c>
      <c r="H69" s="650"/>
      <c r="I69" s="582" t="s">
        <v>582</v>
      </c>
      <c r="J69" s="582" t="s">
        <v>582</v>
      </c>
      <c r="K69" s="582" t="s">
        <v>480</v>
      </c>
      <c r="L69" s="582" t="s">
        <v>582</v>
      </c>
      <c r="M69" s="582" t="s">
        <v>480</v>
      </c>
      <c r="N69" s="582" t="s">
        <v>480</v>
      </c>
      <c r="O69" s="582" t="s">
        <v>480</v>
      </c>
      <c r="P69" s="582" t="s">
        <v>480</v>
      </c>
      <c r="Q69" s="582" t="s">
        <v>480</v>
      </c>
      <c r="R69" s="582" t="s">
        <v>480</v>
      </c>
      <c r="S69" s="582" t="s">
        <v>480</v>
      </c>
      <c r="T69" s="650" t="s">
        <v>480</v>
      </c>
      <c r="U69" s="650"/>
      <c r="V69" s="650" t="s">
        <v>480</v>
      </c>
      <c r="W69" s="650"/>
    </row>
    <row r="70" spans="1:23" ht="13.5" customHeight="1">
      <c r="A70" s="648"/>
      <c r="B70" s="648"/>
      <c r="C70" s="577"/>
      <c r="D70" s="577" t="s">
        <v>588</v>
      </c>
      <c r="E70" s="651" t="s">
        <v>589</v>
      </c>
      <c r="F70" s="651"/>
      <c r="G70" s="650" t="s">
        <v>488</v>
      </c>
      <c r="H70" s="650"/>
      <c r="I70" s="582" t="s">
        <v>488</v>
      </c>
      <c r="J70" s="582" t="s">
        <v>488</v>
      </c>
      <c r="K70" s="582" t="s">
        <v>480</v>
      </c>
      <c r="L70" s="582" t="s">
        <v>488</v>
      </c>
      <c r="M70" s="582" t="s">
        <v>480</v>
      </c>
      <c r="N70" s="582" t="s">
        <v>480</v>
      </c>
      <c r="O70" s="582" t="s">
        <v>480</v>
      </c>
      <c r="P70" s="582" t="s">
        <v>480</v>
      </c>
      <c r="Q70" s="582" t="s">
        <v>480</v>
      </c>
      <c r="R70" s="582" t="s">
        <v>480</v>
      </c>
      <c r="S70" s="582" t="s">
        <v>480</v>
      </c>
      <c r="T70" s="650" t="s">
        <v>480</v>
      </c>
      <c r="U70" s="650"/>
      <c r="V70" s="650" t="s">
        <v>480</v>
      </c>
      <c r="W70" s="650"/>
    </row>
    <row r="71" spans="1:23" ht="17.25" customHeight="1">
      <c r="A71" s="648"/>
      <c r="B71" s="648"/>
      <c r="C71" s="577"/>
      <c r="D71" s="577" t="s">
        <v>590</v>
      </c>
      <c r="E71" s="651" t="s">
        <v>591</v>
      </c>
      <c r="F71" s="651"/>
      <c r="G71" s="650" t="s">
        <v>592</v>
      </c>
      <c r="H71" s="650"/>
      <c r="I71" s="582" t="s">
        <v>592</v>
      </c>
      <c r="J71" s="582" t="s">
        <v>592</v>
      </c>
      <c r="K71" s="582" t="s">
        <v>480</v>
      </c>
      <c r="L71" s="582" t="s">
        <v>592</v>
      </c>
      <c r="M71" s="582" t="s">
        <v>480</v>
      </c>
      <c r="N71" s="582" t="s">
        <v>480</v>
      </c>
      <c r="O71" s="582" t="s">
        <v>480</v>
      </c>
      <c r="P71" s="582" t="s">
        <v>480</v>
      </c>
      <c r="Q71" s="582" t="s">
        <v>480</v>
      </c>
      <c r="R71" s="582" t="s">
        <v>480</v>
      </c>
      <c r="S71" s="582" t="s">
        <v>480</v>
      </c>
      <c r="T71" s="650" t="s">
        <v>480</v>
      </c>
      <c r="U71" s="650"/>
      <c r="V71" s="650" t="s">
        <v>480</v>
      </c>
      <c r="W71" s="650"/>
    </row>
    <row r="72" spans="1:23" ht="13.5" customHeight="1">
      <c r="A72" s="648"/>
      <c r="B72" s="648"/>
      <c r="C72" s="577" t="s">
        <v>593</v>
      </c>
      <c r="D72" s="577"/>
      <c r="E72" s="651" t="s">
        <v>594</v>
      </c>
      <c r="F72" s="651"/>
      <c r="G72" s="655">
        <f>6104000+170000</f>
        <v>6274000</v>
      </c>
      <c r="H72" s="654"/>
      <c r="I72" s="582" t="s">
        <v>595</v>
      </c>
      <c r="J72" s="582" t="s">
        <v>596</v>
      </c>
      <c r="K72" s="582" t="s">
        <v>597</v>
      </c>
      <c r="L72" s="582" t="s">
        <v>598</v>
      </c>
      <c r="M72" s="582" t="s">
        <v>480</v>
      </c>
      <c r="N72" s="582" t="s">
        <v>587</v>
      </c>
      <c r="O72" s="582" t="s">
        <v>480</v>
      </c>
      <c r="P72" s="582" t="s">
        <v>480</v>
      </c>
      <c r="Q72" s="582" t="s">
        <v>480</v>
      </c>
      <c r="R72" s="585" t="s">
        <v>599</v>
      </c>
      <c r="S72" s="585" t="s">
        <v>599</v>
      </c>
      <c r="T72" s="650" t="s">
        <v>480</v>
      </c>
      <c r="U72" s="650"/>
      <c r="V72" s="650" t="s">
        <v>480</v>
      </c>
      <c r="W72" s="650"/>
    </row>
    <row r="73" spans="1:23" ht="13.5" customHeight="1">
      <c r="A73" s="648"/>
      <c r="B73" s="648"/>
      <c r="C73" s="577"/>
      <c r="D73" s="577" t="s">
        <v>600</v>
      </c>
      <c r="E73" s="651" t="s">
        <v>601</v>
      </c>
      <c r="F73" s="651"/>
      <c r="G73" s="650" t="s">
        <v>587</v>
      </c>
      <c r="H73" s="650"/>
      <c r="I73" s="582" t="s">
        <v>587</v>
      </c>
      <c r="J73" s="582" t="s">
        <v>480</v>
      </c>
      <c r="K73" s="582" t="s">
        <v>480</v>
      </c>
      <c r="L73" s="582" t="s">
        <v>480</v>
      </c>
      <c r="M73" s="582" t="s">
        <v>480</v>
      </c>
      <c r="N73" s="582" t="s">
        <v>587</v>
      </c>
      <c r="O73" s="582" t="s">
        <v>480</v>
      </c>
      <c r="P73" s="582" t="s">
        <v>480</v>
      </c>
      <c r="Q73" s="582" t="s">
        <v>480</v>
      </c>
      <c r="R73" s="582" t="s">
        <v>480</v>
      </c>
      <c r="S73" s="582" t="s">
        <v>480</v>
      </c>
      <c r="T73" s="650" t="s">
        <v>480</v>
      </c>
      <c r="U73" s="650"/>
      <c r="V73" s="650" t="s">
        <v>480</v>
      </c>
      <c r="W73" s="650"/>
    </row>
    <row r="74" spans="1:23" ht="13.5" customHeight="1">
      <c r="A74" s="648"/>
      <c r="B74" s="648"/>
      <c r="C74" s="577"/>
      <c r="D74" s="577" t="s">
        <v>602</v>
      </c>
      <c r="E74" s="651" t="s">
        <v>603</v>
      </c>
      <c r="F74" s="651"/>
      <c r="G74" s="650" t="s">
        <v>604</v>
      </c>
      <c r="H74" s="650"/>
      <c r="I74" s="582" t="s">
        <v>604</v>
      </c>
      <c r="J74" s="582" t="s">
        <v>604</v>
      </c>
      <c r="K74" s="582" t="s">
        <v>604</v>
      </c>
      <c r="L74" s="582" t="s">
        <v>480</v>
      </c>
      <c r="M74" s="582" t="s">
        <v>480</v>
      </c>
      <c r="N74" s="582" t="s">
        <v>480</v>
      </c>
      <c r="O74" s="582" t="s">
        <v>480</v>
      </c>
      <c r="P74" s="582" t="s">
        <v>480</v>
      </c>
      <c r="Q74" s="582" t="s">
        <v>480</v>
      </c>
      <c r="R74" s="582" t="s">
        <v>480</v>
      </c>
      <c r="S74" s="582" t="s">
        <v>480</v>
      </c>
      <c r="T74" s="650" t="s">
        <v>480</v>
      </c>
      <c r="U74" s="650"/>
      <c r="V74" s="650" t="s">
        <v>480</v>
      </c>
      <c r="W74" s="650"/>
    </row>
    <row r="75" spans="1:23" ht="13.5" customHeight="1">
      <c r="A75" s="648"/>
      <c r="B75" s="648"/>
      <c r="C75" s="577"/>
      <c r="D75" s="577" t="s">
        <v>605</v>
      </c>
      <c r="E75" s="651" t="s">
        <v>606</v>
      </c>
      <c r="F75" s="651"/>
      <c r="G75" s="650" t="s">
        <v>607</v>
      </c>
      <c r="H75" s="650"/>
      <c r="I75" s="582" t="s">
        <v>607</v>
      </c>
      <c r="J75" s="582" t="s">
        <v>607</v>
      </c>
      <c r="K75" s="582" t="s">
        <v>607</v>
      </c>
      <c r="L75" s="582" t="s">
        <v>480</v>
      </c>
      <c r="M75" s="582" t="s">
        <v>480</v>
      </c>
      <c r="N75" s="582" t="s">
        <v>480</v>
      </c>
      <c r="O75" s="582" t="s">
        <v>480</v>
      </c>
      <c r="P75" s="582" t="s">
        <v>480</v>
      </c>
      <c r="Q75" s="582" t="s">
        <v>480</v>
      </c>
      <c r="R75" s="582" t="s">
        <v>480</v>
      </c>
      <c r="S75" s="582" t="s">
        <v>480</v>
      </c>
      <c r="T75" s="650" t="s">
        <v>480</v>
      </c>
      <c r="U75" s="650"/>
      <c r="V75" s="650" t="s">
        <v>480</v>
      </c>
      <c r="W75" s="650"/>
    </row>
    <row r="76" spans="1:23" ht="13.5" customHeight="1">
      <c r="A76" s="648"/>
      <c r="B76" s="648"/>
      <c r="C76" s="577"/>
      <c r="D76" s="577" t="s">
        <v>608</v>
      </c>
      <c r="E76" s="651" t="s">
        <v>609</v>
      </c>
      <c r="F76" s="651"/>
      <c r="G76" s="650" t="s">
        <v>610</v>
      </c>
      <c r="H76" s="650"/>
      <c r="I76" s="582" t="s">
        <v>610</v>
      </c>
      <c r="J76" s="582" t="s">
        <v>610</v>
      </c>
      <c r="K76" s="582" t="s">
        <v>610</v>
      </c>
      <c r="L76" s="582" t="s">
        <v>480</v>
      </c>
      <c r="M76" s="582" t="s">
        <v>480</v>
      </c>
      <c r="N76" s="582" t="s">
        <v>480</v>
      </c>
      <c r="O76" s="582" t="s">
        <v>480</v>
      </c>
      <c r="P76" s="582" t="s">
        <v>480</v>
      </c>
      <c r="Q76" s="582" t="s">
        <v>480</v>
      </c>
      <c r="R76" s="582" t="s">
        <v>480</v>
      </c>
      <c r="S76" s="582" t="s">
        <v>480</v>
      </c>
      <c r="T76" s="650" t="s">
        <v>480</v>
      </c>
      <c r="U76" s="650"/>
      <c r="V76" s="650" t="s">
        <v>480</v>
      </c>
      <c r="W76" s="650"/>
    </row>
    <row r="77" spans="1:23" ht="13.5" customHeight="1">
      <c r="A77" s="648"/>
      <c r="B77" s="648"/>
      <c r="C77" s="577"/>
      <c r="D77" s="577" t="s">
        <v>611</v>
      </c>
      <c r="E77" s="651" t="s">
        <v>612</v>
      </c>
      <c r="F77" s="651"/>
      <c r="G77" s="650" t="s">
        <v>613</v>
      </c>
      <c r="H77" s="650"/>
      <c r="I77" s="582" t="s">
        <v>613</v>
      </c>
      <c r="J77" s="582" t="s">
        <v>613</v>
      </c>
      <c r="K77" s="582" t="s">
        <v>613</v>
      </c>
      <c r="L77" s="582" t="s">
        <v>480</v>
      </c>
      <c r="M77" s="582" t="s">
        <v>480</v>
      </c>
      <c r="N77" s="582" t="s">
        <v>480</v>
      </c>
      <c r="O77" s="582" t="s">
        <v>480</v>
      </c>
      <c r="P77" s="582" t="s">
        <v>480</v>
      </c>
      <c r="Q77" s="582" t="s">
        <v>480</v>
      </c>
      <c r="R77" s="582" t="s">
        <v>480</v>
      </c>
      <c r="S77" s="582" t="s">
        <v>480</v>
      </c>
      <c r="T77" s="650" t="s">
        <v>480</v>
      </c>
      <c r="U77" s="650"/>
      <c r="V77" s="650" t="s">
        <v>480</v>
      </c>
      <c r="W77" s="650"/>
    </row>
    <row r="78" spans="1:23" ht="17.25" customHeight="1">
      <c r="A78" s="648"/>
      <c r="B78" s="648"/>
      <c r="C78" s="577"/>
      <c r="D78" s="577" t="s">
        <v>614</v>
      </c>
      <c r="E78" s="651" t="s">
        <v>615</v>
      </c>
      <c r="F78" s="651"/>
      <c r="G78" s="650" t="s">
        <v>616</v>
      </c>
      <c r="H78" s="650"/>
      <c r="I78" s="582" t="s">
        <v>616</v>
      </c>
      <c r="J78" s="582" t="s">
        <v>616</v>
      </c>
      <c r="K78" s="582" t="s">
        <v>480</v>
      </c>
      <c r="L78" s="582" t="s">
        <v>616</v>
      </c>
      <c r="M78" s="582" t="s">
        <v>480</v>
      </c>
      <c r="N78" s="582" t="s">
        <v>480</v>
      </c>
      <c r="O78" s="582" t="s">
        <v>480</v>
      </c>
      <c r="P78" s="582" t="s">
        <v>480</v>
      </c>
      <c r="Q78" s="582" t="s">
        <v>480</v>
      </c>
      <c r="R78" s="582" t="s">
        <v>480</v>
      </c>
      <c r="S78" s="582" t="s">
        <v>480</v>
      </c>
      <c r="T78" s="650" t="s">
        <v>480</v>
      </c>
      <c r="U78" s="650"/>
      <c r="V78" s="650" t="s">
        <v>480</v>
      </c>
      <c r="W78" s="650"/>
    </row>
    <row r="79" spans="1:23" ht="13.5" customHeight="1">
      <c r="A79" s="648"/>
      <c r="B79" s="648"/>
      <c r="C79" s="577"/>
      <c r="D79" s="577" t="s">
        <v>543</v>
      </c>
      <c r="E79" s="651" t="s">
        <v>544</v>
      </c>
      <c r="F79" s="651"/>
      <c r="G79" s="650" t="s">
        <v>617</v>
      </c>
      <c r="H79" s="650"/>
      <c r="I79" s="582" t="s">
        <v>617</v>
      </c>
      <c r="J79" s="582" t="s">
        <v>617</v>
      </c>
      <c r="K79" s="582" t="s">
        <v>617</v>
      </c>
      <c r="L79" s="582" t="s">
        <v>480</v>
      </c>
      <c r="M79" s="582" t="s">
        <v>480</v>
      </c>
      <c r="N79" s="582" t="s">
        <v>480</v>
      </c>
      <c r="O79" s="582" t="s">
        <v>480</v>
      </c>
      <c r="P79" s="582" t="s">
        <v>480</v>
      </c>
      <c r="Q79" s="582" t="s">
        <v>480</v>
      </c>
      <c r="R79" s="582" t="s">
        <v>480</v>
      </c>
      <c r="S79" s="582" t="s">
        <v>480</v>
      </c>
      <c r="T79" s="650" t="s">
        <v>480</v>
      </c>
      <c r="U79" s="650"/>
      <c r="V79" s="650" t="s">
        <v>480</v>
      </c>
      <c r="W79" s="650"/>
    </row>
    <row r="80" spans="1:23" ht="13.5" customHeight="1">
      <c r="A80" s="648"/>
      <c r="B80" s="648"/>
      <c r="C80" s="577"/>
      <c r="D80" s="577" t="s">
        <v>483</v>
      </c>
      <c r="E80" s="651" t="s">
        <v>484</v>
      </c>
      <c r="F80" s="651"/>
      <c r="G80" s="650" t="s">
        <v>618</v>
      </c>
      <c r="H80" s="650"/>
      <c r="I80" s="582" t="s">
        <v>618</v>
      </c>
      <c r="J80" s="582" t="s">
        <v>618</v>
      </c>
      <c r="K80" s="582" t="s">
        <v>480</v>
      </c>
      <c r="L80" s="582" t="s">
        <v>618</v>
      </c>
      <c r="M80" s="582" t="s">
        <v>480</v>
      </c>
      <c r="N80" s="582" t="s">
        <v>480</v>
      </c>
      <c r="O80" s="582" t="s">
        <v>480</v>
      </c>
      <c r="P80" s="582" t="s">
        <v>480</v>
      </c>
      <c r="Q80" s="582" t="s">
        <v>480</v>
      </c>
      <c r="R80" s="582" t="s">
        <v>480</v>
      </c>
      <c r="S80" s="582" t="s">
        <v>480</v>
      </c>
      <c r="T80" s="650" t="s">
        <v>480</v>
      </c>
      <c r="U80" s="650"/>
      <c r="V80" s="650" t="s">
        <v>480</v>
      </c>
      <c r="W80" s="650"/>
    </row>
    <row r="81" spans="1:23" ht="13.5" customHeight="1">
      <c r="A81" s="648"/>
      <c r="B81" s="648"/>
      <c r="C81" s="577"/>
      <c r="D81" s="577" t="s">
        <v>558</v>
      </c>
      <c r="E81" s="651" t="s">
        <v>559</v>
      </c>
      <c r="F81" s="651"/>
      <c r="G81" s="650" t="s">
        <v>619</v>
      </c>
      <c r="H81" s="650"/>
      <c r="I81" s="582" t="s">
        <v>619</v>
      </c>
      <c r="J81" s="582" t="s">
        <v>619</v>
      </c>
      <c r="K81" s="582" t="s">
        <v>480</v>
      </c>
      <c r="L81" s="582" t="s">
        <v>619</v>
      </c>
      <c r="M81" s="582" t="s">
        <v>480</v>
      </c>
      <c r="N81" s="582" t="s">
        <v>480</v>
      </c>
      <c r="O81" s="582" t="s">
        <v>480</v>
      </c>
      <c r="P81" s="582" t="s">
        <v>480</v>
      </c>
      <c r="Q81" s="582" t="s">
        <v>480</v>
      </c>
      <c r="R81" s="582" t="s">
        <v>480</v>
      </c>
      <c r="S81" s="582" t="s">
        <v>480</v>
      </c>
      <c r="T81" s="650" t="s">
        <v>480</v>
      </c>
      <c r="U81" s="650"/>
      <c r="V81" s="650" t="s">
        <v>480</v>
      </c>
      <c r="W81" s="650"/>
    </row>
    <row r="82" spans="1:23" ht="13.5" customHeight="1">
      <c r="A82" s="648"/>
      <c r="B82" s="648"/>
      <c r="C82" s="577"/>
      <c r="D82" s="577" t="s">
        <v>517</v>
      </c>
      <c r="E82" s="651" t="s">
        <v>518</v>
      </c>
      <c r="F82" s="651"/>
      <c r="G82" s="650" t="s">
        <v>620</v>
      </c>
      <c r="H82" s="650"/>
      <c r="I82" s="582" t="s">
        <v>620</v>
      </c>
      <c r="J82" s="582" t="s">
        <v>620</v>
      </c>
      <c r="K82" s="582" t="s">
        <v>480</v>
      </c>
      <c r="L82" s="582" t="s">
        <v>620</v>
      </c>
      <c r="M82" s="582" t="s">
        <v>480</v>
      </c>
      <c r="N82" s="582" t="s">
        <v>480</v>
      </c>
      <c r="O82" s="582" t="s">
        <v>480</v>
      </c>
      <c r="P82" s="582" t="s">
        <v>480</v>
      </c>
      <c r="Q82" s="582" t="s">
        <v>480</v>
      </c>
      <c r="R82" s="582" t="s">
        <v>480</v>
      </c>
      <c r="S82" s="582" t="s">
        <v>480</v>
      </c>
      <c r="T82" s="650" t="s">
        <v>480</v>
      </c>
      <c r="U82" s="650"/>
      <c r="V82" s="650" t="s">
        <v>480</v>
      </c>
      <c r="W82" s="650"/>
    </row>
    <row r="83" spans="1:23" ht="13.5" customHeight="1">
      <c r="A83" s="648"/>
      <c r="B83" s="648"/>
      <c r="C83" s="577"/>
      <c r="D83" s="577" t="s">
        <v>621</v>
      </c>
      <c r="E83" s="651" t="s">
        <v>622</v>
      </c>
      <c r="F83" s="651"/>
      <c r="G83" s="650" t="s">
        <v>498</v>
      </c>
      <c r="H83" s="650"/>
      <c r="I83" s="582" t="s">
        <v>498</v>
      </c>
      <c r="J83" s="582" t="s">
        <v>498</v>
      </c>
      <c r="K83" s="582" t="s">
        <v>480</v>
      </c>
      <c r="L83" s="582" t="s">
        <v>498</v>
      </c>
      <c r="M83" s="582" t="s">
        <v>480</v>
      </c>
      <c r="N83" s="582" t="s">
        <v>480</v>
      </c>
      <c r="O83" s="582" t="s">
        <v>480</v>
      </c>
      <c r="P83" s="582" t="s">
        <v>480</v>
      </c>
      <c r="Q83" s="582" t="s">
        <v>480</v>
      </c>
      <c r="R83" s="582" t="s">
        <v>480</v>
      </c>
      <c r="S83" s="582" t="s">
        <v>480</v>
      </c>
      <c r="T83" s="650" t="s">
        <v>480</v>
      </c>
      <c r="U83" s="650"/>
      <c r="V83" s="650" t="s">
        <v>480</v>
      </c>
      <c r="W83" s="650"/>
    </row>
    <row r="84" spans="1:23" ht="13.5" customHeight="1">
      <c r="A84" s="648"/>
      <c r="B84" s="648"/>
      <c r="C84" s="577"/>
      <c r="D84" s="577" t="s">
        <v>486</v>
      </c>
      <c r="E84" s="651" t="s">
        <v>487</v>
      </c>
      <c r="F84" s="651"/>
      <c r="G84" s="650" t="s">
        <v>623</v>
      </c>
      <c r="H84" s="650"/>
      <c r="I84" s="582" t="s">
        <v>623</v>
      </c>
      <c r="J84" s="582" t="s">
        <v>623</v>
      </c>
      <c r="K84" s="582" t="s">
        <v>480</v>
      </c>
      <c r="L84" s="582" t="s">
        <v>623</v>
      </c>
      <c r="M84" s="582" t="s">
        <v>480</v>
      </c>
      <c r="N84" s="582" t="s">
        <v>480</v>
      </c>
      <c r="O84" s="582" t="s">
        <v>480</v>
      </c>
      <c r="P84" s="582" t="s">
        <v>480</v>
      </c>
      <c r="Q84" s="582" t="s">
        <v>480</v>
      </c>
      <c r="R84" s="582" t="s">
        <v>480</v>
      </c>
      <c r="S84" s="582" t="s">
        <v>480</v>
      </c>
      <c r="T84" s="650" t="s">
        <v>480</v>
      </c>
      <c r="U84" s="650"/>
      <c r="V84" s="650" t="s">
        <v>480</v>
      </c>
      <c r="W84" s="650"/>
    </row>
    <row r="85" spans="1:23" ht="13.5" customHeight="1">
      <c r="A85" s="648"/>
      <c r="B85" s="648"/>
      <c r="C85" s="577"/>
      <c r="D85" s="577" t="s">
        <v>624</v>
      </c>
      <c r="E85" s="651" t="s">
        <v>625</v>
      </c>
      <c r="F85" s="651"/>
      <c r="G85" s="650" t="s">
        <v>531</v>
      </c>
      <c r="H85" s="650"/>
      <c r="I85" s="582" t="s">
        <v>531</v>
      </c>
      <c r="J85" s="582" t="s">
        <v>531</v>
      </c>
      <c r="K85" s="582" t="s">
        <v>480</v>
      </c>
      <c r="L85" s="582" t="s">
        <v>531</v>
      </c>
      <c r="M85" s="582" t="s">
        <v>480</v>
      </c>
      <c r="N85" s="582" t="s">
        <v>480</v>
      </c>
      <c r="O85" s="582" t="s">
        <v>480</v>
      </c>
      <c r="P85" s="582" t="s">
        <v>480</v>
      </c>
      <c r="Q85" s="582" t="s">
        <v>480</v>
      </c>
      <c r="R85" s="582" t="s">
        <v>480</v>
      </c>
      <c r="S85" s="582" t="s">
        <v>480</v>
      </c>
      <c r="T85" s="650" t="s">
        <v>480</v>
      </c>
      <c r="U85" s="650"/>
      <c r="V85" s="650" t="s">
        <v>480</v>
      </c>
      <c r="W85" s="650"/>
    </row>
    <row r="86" spans="1:23" ht="24" customHeight="1">
      <c r="A86" s="648"/>
      <c r="B86" s="648"/>
      <c r="C86" s="577"/>
      <c r="D86" s="577" t="s">
        <v>626</v>
      </c>
      <c r="E86" s="651" t="s">
        <v>627</v>
      </c>
      <c r="F86" s="651"/>
      <c r="G86" s="650" t="s">
        <v>491</v>
      </c>
      <c r="H86" s="650"/>
      <c r="I86" s="582" t="s">
        <v>491</v>
      </c>
      <c r="J86" s="582" t="s">
        <v>491</v>
      </c>
      <c r="K86" s="582" t="s">
        <v>480</v>
      </c>
      <c r="L86" s="582" t="s">
        <v>491</v>
      </c>
      <c r="M86" s="582" t="s">
        <v>480</v>
      </c>
      <c r="N86" s="582" t="s">
        <v>480</v>
      </c>
      <c r="O86" s="582" t="s">
        <v>480</v>
      </c>
      <c r="P86" s="582" t="s">
        <v>480</v>
      </c>
      <c r="Q86" s="582" t="s">
        <v>480</v>
      </c>
      <c r="R86" s="582" t="s">
        <v>480</v>
      </c>
      <c r="S86" s="582" t="s">
        <v>480</v>
      </c>
      <c r="T86" s="650" t="s">
        <v>480</v>
      </c>
      <c r="U86" s="650"/>
      <c r="V86" s="650" t="s">
        <v>480</v>
      </c>
      <c r="W86" s="650"/>
    </row>
    <row r="87" spans="1:23" ht="24" customHeight="1">
      <c r="A87" s="648"/>
      <c r="B87" s="648"/>
      <c r="C87" s="577"/>
      <c r="D87" s="577" t="s">
        <v>628</v>
      </c>
      <c r="E87" s="651" t="s">
        <v>629</v>
      </c>
      <c r="F87" s="651"/>
      <c r="G87" s="650" t="s">
        <v>630</v>
      </c>
      <c r="H87" s="650"/>
      <c r="I87" s="582" t="s">
        <v>630</v>
      </c>
      <c r="J87" s="582" t="s">
        <v>630</v>
      </c>
      <c r="K87" s="582" t="s">
        <v>480</v>
      </c>
      <c r="L87" s="582" t="s">
        <v>630</v>
      </c>
      <c r="M87" s="582" t="s">
        <v>480</v>
      </c>
      <c r="N87" s="582" t="s">
        <v>480</v>
      </c>
      <c r="O87" s="582" t="s">
        <v>480</v>
      </c>
      <c r="P87" s="582" t="s">
        <v>480</v>
      </c>
      <c r="Q87" s="582" t="s">
        <v>480</v>
      </c>
      <c r="R87" s="582" t="s">
        <v>480</v>
      </c>
      <c r="S87" s="582" t="s">
        <v>480</v>
      </c>
      <c r="T87" s="650" t="s">
        <v>480</v>
      </c>
      <c r="U87" s="650"/>
      <c r="V87" s="650" t="s">
        <v>480</v>
      </c>
      <c r="W87" s="650"/>
    </row>
    <row r="88" spans="1:23" ht="13.5" customHeight="1">
      <c r="A88" s="648"/>
      <c r="B88" s="648"/>
      <c r="C88" s="577"/>
      <c r="D88" s="577" t="s">
        <v>631</v>
      </c>
      <c r="E88" s="651" t="s">
        <v>632</v>
      </c>
      <c r="F88" s="651"/>
      <c r="G88" s="650" t="s">
        <v>633</v>
      </c>
      <c r="H88" s="650"/>
      <c r="I88" s="582" t="s">
        <v>633</v>
      </c>
      <c r="J88" s="582" t="s">
        <v>633</v>
      </c>
      <c r="K88" s="582" t="s">
        <v>480</v>
      </c>
      <c r="L88" s="582" t="s">
        <v>633</v>
      </c>
      <c r="M88" s="582" t="s">
        <v>480</v>
      </c>
      <c r="N88" s="582" t="s">
        <v>480</v>
      </c>
      <c r="O88" s="582" t="s">
        <v>480</v>
      </c>
      <c r="P88" s="582" t="s">
        <v>480</v>
      </c>
      <c r="Q88" s="582" t="s">
        <v>480</v>
      </c>
      <c r="R88" s="582" t="s">
        <v>480</v>
      </c>
      <c r="S88" s="582" t="s">
        <v>480</v>
      </c>
      <c r="T88" s="650" t="s">
        <v>480</v>
      </c>
      <c r="U88" s="650"/>
      <c r="V88" s="650" t="s">
        <v>480</v>
      </c>
      <c r="W88" s="650"/>
    </row>
    <row r="89" spans="1:23" ht="17.25" customHeight="1">
      <c r="A89" s="648"/>
      <c r="B89" s="648"/>
      <c r="C89" s="577"/>
      <c r="D89" s="577" t="s">
        <v>634</v>
      </c>
      <c r="E89" s="651" t="s">
        <v>635</v>
      </c>
      <c r="F89" s="651"/>
      <c r="G89" s="650" t="s">
        <v>633</v>
      </c>
      <c r="H89" s="650"/>
      <c r="I89" s="582" t="s">
        <v>633</v>
      </c>
      <c r="J89" s="582" t="s">
        <v>633</v>
      </c>
      <c r="K89" s="582" t="s">
        <v>480</v>
      </c>
      <c r="L89" s="582" t="s">
        <v>633</v>
      </c>
      <c r="M89" s="582" t="s">
        <v>480</v>
      </c>
      <c r="N89" s="582" t="s">
        <v>480</v>
      </c>
      <c r="O89" s="582" t="s">
        <v>480</v>
      </c>
      <c r="P89" s="582" t="s">
        <v>480</v>
      </c>
      <c r="Q89" s="582" t="s">
        <v>480</v>
      </c>
      <c r="R89" s="582" t="s">
        <v>480</v>
      </c>
      <c r="S89" s="582" t="s">
        <v>480</v>
      </c>
      <c r="T89" s="650" t="s">
        <v>480</v>
      </c>
      <c r="U89" s="650"/>
      <c r="V89" s="650" t="s">
        <v>480</v>
      </c>
      <c r="W89" s="650"/>
    </row>
    <row r="90" spans="1:23" ht="13.5" customHeight="1">
      <c r="A90" s="648"/>
      <c r="B90" s="648"/>
      <c r="C90" s="577"/>
      <c r="D90" s="577" t="s">
        <v>588</v>
      </c>
      <c r="E90" s="651" t="s">
        <v>589</v>
      </c>
      <c r="F90" s="651"/>
      <c r="G90" s="650" t="s">
        <v>568</v>
      </c>
      <c r="H90" s="650"/>
      <c r="I90" s="582" t="s">
        <v>568</v>
      </c>
      <c r="J90" s="582" t="s">
        <v>568</v>
      </c>
      <c r="K90" s="582" t="s">
        <v>480</v>
      </c>
      <c r="L90" s="582" t="s">
        <v>568</v>
      </c>
      <c r="M90" s="582" t="s">
        <v>480</v>
      </c>
      <c r="N90" s="582" t="s">
        <v>480</v>
      </c>
      <c r="O90" s="582" t="s">
        <v>480</v>
      </c>
      <c r="P90" s="582" t="s">
        <v>480</v>
      </c>
      <c r="Q90" s="582" t="s">
        <v>480</v>
      </c>
      <c r="R90" s="582" t="s">
        <v>480</v>
      </c>
      <c r="S90" s="582" t="s">
        <v>480</v>
      </c>
      <c r="T90" s="650" t="s">
        <v>480</v>
      </c>
      <c r="U90" s="650"/>
      <c r="V90" s="650" t="s">
        <v>480</v>
      </c>
      <c r="W90" s="650"/>
    </row>
    <row r="91" spans="1:23" ht="13.5" customHeight="1">
      <c r="A91" s="648"/>
      <c r="B91" s="648"/>
      <c r="C91" s="577"/>
      <c r="D91" s="577" t="s">
        <v>494</v>
      </c>
      <c r="E91" s="651" t="s">
        <v>495</v>
      </c>
      <c r="F91" s="651"/>
      <c r="G91" s="650" t="s">
        <v>636</v>
      </c>
      <c r="H91" s="650"/>
      <c r="I91" s="582" t="s">
        <v>636</v>
      </c>
      <c r="J91" s="582" t="s">
        <v>636</v>
      </c>
      <c r="K91" s="582" t="s">
        <v>480</v>
      </c>
      <c r="L91" s="582" t="s">
        <v>636</v>
      </c>
      <c r="M91" s="582" t="s">
        <v>480</v>
      </c>
      <c r="N91" s="582" t="s">
        <v>480</v>
      </c>
      <c r="O91" s="582" t="s">
        <v>480</v>
      </c>
      <c r="P91" s="582" t="s">
        <v>480</v>
      </c>
      <c r="Q91" s="582" t="s">
        <v>480</v>
      </c>
      <c r="R91" s="582" t="s">
        <v>480</v>
      </c>
      <c r="S91" s="582" t="s">
        <v>480</v>
      </c>
      <c r="T91" s="650" t="s">
        <v>480</v>
      </c>
      <c r="U91" s="650"/>
      <c r="V91" s="650" t="s">
        <v>480</v>
      </c>
      <c r="W91" s="650"/>
    </row>
    <row r="92" spans="1:23" ht="17.25" customHeight="1">
      <c r="A92" s="648"/>
      <c r="B92" s="648"/>
      <c r="C92" s="577"/>
      <c r="D92" s="577" t="s">
        <v>637</v>
      </c>
      <c r="E92" s="651" t="s">
        <v>638</v>
      </c>
      <c r="F92" s="651"/>
      <c r="G92" s="650" t="s">
        <v>639</v>
      </c>
      <c r="H92" s="650"/>
      <c r="I92" s="582" t="s">
        <v>639</v>
      </c>
      <c r="J92" s="582" t="s">
        <v>639</v>
      </c>
      <c r="K92" s="582" t="s">
        <v>480</v>
      </c>
      <c r="L92" s="582" t="s">
        <v>639</v>
      </c>
      <c r="M92" s="582" t="s">
        <v>480</v>
      </c>
      <c r="N92" s="582" t="s">
        <v>480</v>
      </c>
      <c r="O92" s="582" t="s">
        <v>480</v>
      </c>
      <c r="P92" s="582" t="s">
        <v>480</v>
      </c>
      <c r="Q92" s="582" t="s">
        <v>480</v>
      </c>
      <c r="R92" s="582" t="s">
        <v>480</v>
      </c>
      <c r="S92" s="582" t="s">
        <v>480</v>
      </c>
      <c r="T92" s="650" t="s">
        <v>480</v>
      </c>
      <c r="U92" s="650"/>
      <c r="V92" s="650" t="s">
        <v>480</v>
      </c>
      <c r="W92" s="650"/>
    </row>
    <row r="93" spans="1:23" ht="13.5" customHeight="1">
      <c r="A93" s="648"/>
      <c r="B93" s="648"/>
      <c r="C93" s="577"/>
      <c r="D93" s="577" t="s">
        <v>564</v>
      </c>
      <c r="E93" s="651" t="s">
        <v>565</v>
      </c>
      <c r="F93" s="651"/>
      <c r="G93" s="650" t="s">
        <v>640</v>
      </c>
      <c r="H93" s="650"/>
      <c r="I93" s="582" t="s">
        <v>640</v>
      </c>
      <c r="J93" s="582" t="s">
        <v>640</v>
      </c>
      <c r="K93" s="582" t="s">
        <v>480</v>
      </c>
      <c r="L93" s="582" t="s">
        <v>640</v>
      </c>
      <c r="M93" s="582" t="s">
        <v>480</v>
      </c>
      <c r="N93" s="582" t="s">
        <v>480</v>
      </c>
      <c r="O93" s="582" t="s">
        <v>480</v>
      </c>
      <c r="P93" s="582" t="s">
        <v>480</v>
      </c>
      <c r="Q93" s="582" t="s">
        <v>480</v>
      </c>
      <c r="R93" s="582" t="s">
        <v>480</v>
      </c>
      <c r="S93" s="582" t="s">
        <v>480</v>
      </c>
      <c r="T93" s="650" t="s">
        <v>480</v>
      </c>
      <c r="U93" s="650"/>
      <c r="V93" s="650" t="s">
        <v>480</v>
      </c>
      <c r="W93" s="650"/>
    </row>
    <row r="94" spans="1:23" ht="17.25" customHeight="1">
      <c r="A94" s="648"/>
      <c r="B94" s="648"/>
      <c r="C94" s="577"/>
      <c r="D94" s="577" t="s">
        <v>590</v>
      </c>
      <c r="E94" s="651" t="s">
        <v>591</v>
      </c>
      <c r="F94" s="651"/>
      <c r="G94" s="650" t="s">
        <v>616</v>
      </c>
      <c r="H94" s="650"/>
      <c r="I94" s="582" t="s">
        <v>616</v>
      </c>
      <c r="J94" s="582" t="s">
        <v>616</v>
      </c>
      <c r="K94" s="582" t="s">
        <v>480</v>
      </c>
      <c r="L94" s="582" t="s">
        <v>616</v>
      </c>
      <c r="M94" s="582" t="s">
        <v>480</v>
      </c>
      <c r="N94" s="582" t="s">
        <v>480</v>
      </c>
      <c r="O94" s="582" t="s">
        <v>480</v>
      </c>
      <c r="P94" s="582" t="s">
        <v>480</v>
      </c>
      <c r="Q94" s="582" t="s">
        <v>480</v>
      </c>
      <c r="R94" s="582" t="s">
        <v>480</v>
      </c>
      <c r="S94" s="582" t="s">
        <v>480</v>
      </c>
      <c r="T94" s="650" t="s">
        <v>480</v>
      </c>
      <c r="U94" s="650"/>
      <c r="V94" s="650" t="s">
        <v>480</v>
      </c>
      <c r="W94" s="650"/>
    </row>
    <row r="95" spans="1:23" ht="13.5" customHeight="1">
      <c r="A95" s="648"/>
      <c r="B95" s="648"/>
      <c r="C95" s="577"/>
      <c r="D95" s="577" t="s">
        <v>522</v>
      </c>
      <c r="E95" s="651" t="s">
        <v>523</v>
      </c>
      <c r="F95" s="651"/>
      <c r="G95" s="650" t="s">
        <v>641</v>
      </c>
      <c r="H95" s="650"/>
      <c r="I95" s="582" t="s">
        <v>480</v>
      </c>
      <c r="J95" s="582" t="s">
        <v>480</v>
      </c>
      <c r="K95" s="582" t="s">
        <v>480</v>
      </c>
      <c r="L95" s="582" t="s">
        <v>480</v>
      </c>
      <c r="M95" s="582" t="s">
        <v>480</v>
      </c>
      <c r="N95" s="582" t="s">
        <v>480</v>
      </c>
      <c r="O95" s="582" t="s">
        <v>480</v>
      </c>
      <c r="P95" s="582" t="s">
        <v>480</v>
      </c>
      <c r="Q95" s="582" t="s">
        <v>480</v>
      </c>
      <c r="R95" s="582" t="s">
        <v>641</v>
      </c>
      <c r="S95" s="582" t="s">
        <v>641</v>
      </c>
      <c r="T95" s="650" t="s">
        <v>480</v>
      </c>
      <c r="U95" s="650"/>
      <c r="V95" s="650" t="s">
        <v>480</v>
      </c>
      <c r="W95" s="650"/>
    </row>
    <row r="96" spans="1:23" ht="18" customHeight="1">
      <c r="A96" s="661"/>
      <c r="B96" s="662"/>
      <c r="C96" s="577"/>
      <c r="D96" s="578" t="s">
        <v>547</v>
      </c>
      <c r="E96" s="651" t="s">
        <v>548</v>
      </c>
      <c r="F96" s="651"/>
      <c r="G96" s="663">
        <v>170000</v>
      </c>
      <c r="H96" s="664"/>
      <c r="I96" s="579"/>
      <c r="J96" s="579"/>
      <c r="K96" s="579"/>
      <c r="L96" s="579"/>
      <c r="M96" s="579"/>
      <c r="N96" s="579"/>
      <c r="O96" s="579"/>
      <c r="P96" s="579"/>
      <c r="Q96" s="579"/>
      <c r="R96" s="579">
        <v>170000</v>
      </c>
      <c r="S96" s="579">
        <v>170000</v>
      </c>
      <c r="T96" s="659"/>
      <c r="U96" s="660"/>
      <c r="V96" s="659"/>
      <c r="W96" s="660"/>
    </row>
    <row r="97" spans="1:23" ht="13.5" customHeight="1">
      <c r="A97" s="648"/>
      <c r="B97" s="648"/>
      <c r="C97" s="577" t="s">
        <v>642</v>
      </c>
      <c r="D97" s="577"/>
      <c r="E97" s="651" t="s">
        <v>100</v>
      </c>
      <c r="F97" s="651"/>
      <c r="G97" s="650" t="s">
        <v>643</v>
      </c>
      <c r="H97" s="650"/>
      <c r="I97" s="582" t="s">
        <v>643</v>
      </c>
      <c r="J97" s="582" t="s">
        <v>643</v>
      </c>
      <c r="K97" s="582" t="s">
        <v>644</v>
      </c>
      <c r="L97" s="582" t="s">
        <v>645</v>
      </c>
      <c r="M97" s="582" t="s">
        <v>480</v>
      </c>
      <c r="N97" s="582" t="s">
        <v>480</v>
      </c>
      <c r="O97" s="582" t="s">
        <v>480</v>
      </c>
      <c r="P97" s="582" t="s">
        <v>480</v>
      </c>
      <c r="Q97" s="582" t="s">
        <v>480</v>
      </c>
      <c r="R97" s="582" t="s">
        <v>480</v>
      </c>
      <c r="S97" s="582" t="s">
        <v>480</v>
      </c>
      <c r="T97" s="650" t="s">
        <v>480</v>
      </c>
      <c r="U97" s="650"/>
      <c r="V97" s="650" t="s">
        <v>480</v>
      </c>
      <c r="W97" s="650"/>
    </row>
    <row r="98" spans="1:23" ht="13.5" customHeight="1">
      <c r="A98" s="648"/>
      <c r="B98" s="648"/>
      <c r="C98" s="577"/>
      <c r="D98" s="577" t="s">
        <v>543</v>
      </c>
      <c r="E98" s="651" t="s">
        <v>544</v>
      </c>
      <c r="F98" s="651"/>
      <c r="G98" s="650" t="s">
        <v>644</v>
      </c>
      <c r="H98" s="650"/>
      <c r="I98" s="582" t="s">
        <v>644</v>
      </c>
      <c r="J98" s="582" t="s">
        <v>644</v>
      </c>
      <c r="K98" s="582" t="s">
        <v>644</v>
      </c>
      <c r="L98" s="582" t="s">
        <v>480</v>
      </c>
      <c r="M98" s="582" t="s">
        <v>480</v>
      </c>
      <c r="N98" s="582" t="s">
        <v>480</v>
      </c>
      <c r="O98" s="582" t="s">
        <v>480</v>
      </c>
      <c r="P98" s="582" t="s">
        <v>480</v>
      </c>
      <c r="Q98" s="582" t="s">
        <v>480</v>
      </c>
      <c r="R98" s="582" t="s">
        <v>480</v>
      </c>
      <c r="S98" s="582" t="s">
        <v>480</v>
      </c>
      <c r="T98" s="650" t="s">
        <v>480</v>
      </c>
      <c r="U98" s="650"/>
      <c r="V98" s="650" t="s">
        <v>480</v>
      </c>
      <c r="W98" s="650"/>
    </row>
    <row r="99" spans="1:23" ht="13.5" customHeight="1">
      <c r="A99" s="648"/>
      <c r="B99" s="648"/>
      <c r="C99" s="577"/>
      <c r="D99" s="577" t="s">
        <v>483</v>
      </c>
      <c r="E99" s="651" t="s">
        <v>484</v>
      </c>
      <c r="F99" s="651"/>
      <c r="G99" s="650" t="s">
        <v>646</v>
      </c>
      <c r="H99" s="650"/>
      <c r="I99" s="582" t="s">
        <v>646</v>
      </c>
      <c r="J99" s="582" t="s">
        <v>646</v>
      </c>
      <c r="K99" s="582" t="s">
        <v>480</v>
      </c>
      <c r="L99" s="582" t="s">
        <v>646</v>
      </c>
      <c r="M99" s="582" t="s">
        <v>480</v>
      </c>
      <c r="N99" s="582" t="s">
        <v>480</v>
      </c>
      <c r="O99" s="582" t="s">
        <v>480</v>
      </c>
      <c r="P99" s="582" t="s">
        <v>480</v>
      </c>
      <c r="Q99" s="582" t="s">
        <v>480</v>
      </c>
      <c r="R99" s="582" t="s">
        <v>480</v>
      </c>
      <c r="S99" s="582" t="s">
        <v>480</v>
      </c>
      <c r="T99" s="650" t="s">
        <v>480</v>
      </c>
      <c r="U99" s="650"/>
      <c r="V99" s="650" t="s">
        <v>480</v>
      </c>
      <c r="W99" s="650"/>
    </row>
    <row r="100" spans="1:23" ht="13.5" customHeight="1">
      <c r="A100" s="648"/>
      <c r="B100" s="648"/>
      <c r="C100" s="577"/>
      <c r="D100" s="577" t="s">
        <v>558</v>
      </c>
      <c r="E100" s="651" t="s">
        <v>559</v>
      </c>
      <c r="F100" s="651"/>
      <c r="G100" s="650" t="s">
        <v>498</v>
      </c>
      <c r="H100" s="650"/>
      <c r="I100" s="582" t="s">
        <v>498</v>
      </c>
      <c r="J100" s="582" t="s">
        <v>498</v>
      </c>
      <c r="K100" s="582" t="s">
        <v>480</v>
      </c>
      <c r="L100" s="582" t="s">
        <v>498</v>
      </c>
      <c r="M100" s="582" t="s">
        <v>480</v>
      </c>
      <c r="N100" s="582" t="s">
        <v>480</v>
      </c>
      <c r="O100" s="582" t="s">
        <v>480</v>
      </c>
      <c r="P100" s="582" t="s">
        <v>480</v>
      </c>
      <c r="Q100" s="582" t="s">
        <v>480</v>
      </c>
      <c r="R100" s="582" t="s">
        <v>480</v>
      </c>
      <c r="S100" s="582" t="s">
        <v>480</v>
      </c>
      <c r="T100" s="650" t="s">
        <v>480</v>
      </c>
      <c r="U100" s="650"/>
      <c r="V100" s="650" t="s">
        <v>480</v>
      </c>
      <c r="W100" s="650"/>
    </row>
    <row r="101" spans="1:23" ht="13.5" customHeight="1">
      <c r="A101" s="648"/>
      <c r="B101" s="648"/>
      <c r="C101" s="577"/>
      <c r="D101" s="577" t="s">
        <v>486</v>
      </c>
      <c r="E101" s="651" t="s">
        <v>487</v>
      </c>
      <c r="F101" s="651"/>
      <c r="G101" s="650" t="s">
        <v>647</v>
      </c>
      <c r="H101" s="650"/>
      <c r="I101" s="582" t="s">
        <v>647</v>
      </c>
      <c r="J101" s="582" t="s">
        <v>647</v>
      </c>
      <c r="K101" s="582" t="s">
        <v>480</v>
      </c>
      <c r="L101" s="582" t="s">
        <v>647</v>
      </c>
      <c r="M101" s="582" t="s">
        <v>480</v>
      </c>
      <c r="N101" s="582" t="s">
        <v>480</v>
      </c>
      <c r="O101" s="582" t="s">
        <v>480</v>
      </c>
      <c r="P101" s="582" t="s">
        <v>480</v>
      </c>
      <c r="Q101" s="582" t="s">
        <v>480</v>
      </c>
      <c r="R101" s="582" t="s">
        <v>480</v>
      </c>
      <c r="S101" s="582" t="s">
        <v>480</v>
      </c>
      <c r="T101" s="650" t="s">
        <v>480</v>
      </c>
      <c r="U101" s="650"/>
      <c r="V101" s="650" t="s">
        <v>480</v>
      </c>
      <c r="W101" s="650"/>
    </row>
    <row r="102" spans="1:23" ht="13.5" customHeight="1">
      <c r="A102" s="648"/>
      <c r="B102" s="648"/>
      <c r="C102" s="577"/>
      <c r="D102" s="577" t="s">
        <v>631</v>
      </c>
      <c r="E102" s="651" t="s">
        <v>632</v>
      </c>
      <c r="F102" s="651"/>
      <c r="G102" s="650" t="s">
        <v>648</v>
      </c>
      <c r="H102" s="650"/>
      <c r="I102" s="582" t="s">
        <v>648</v>
      </c>
      <c r="J102" s="582" t="s">
        <v>648</v>
      </c>
      <c r="K102" s="582" t="s">
        <v>480</v>
      </c>
      <c r="L102" s="582" t="s">
        <v>648</v>
      </c>
      <c r="M102" s="582" t="s">
        <v>480</v>
      </c>
      <c r="N102" s="582" t="s">
        <v>480</v>
      </c>
      <c r="O102" s="582" t="s">
        <v>480</v>
      </c>
      <c r="P102" s="582" t="s">
        <v>480</v>
      </c>
      <c r="Q102" s="582" t="s">
        <v>480</v>
      </c>
      <c r="R102" s="582" t="s">
        <v>480</v>
      </c>
      <c r="S102" s="582" t="s">
        <v>480</v>
      </c>
      <c r="T102" s="650" t="s">
        <v>480</v>
      </c>
      <c r="U102" s="650"/>
      <c r="V102" s="650" t="s">
        <v>480</v>
      </c>
      <c r="W102" s="650"/>
    </row>
    <row r="103" spans="1:23" ht="13.5" customHeight="1">
      <c r="A103" s="648"/>
      <c r="B103" s="648"/>
      <c r="C103" s="577"/>
      <c r="D103" s="577" t="s">
        <v>588</v>
      </c>
      <c r="E103" s="651" t="s">
        <v>589</v>
      </c>
      <c r="F103" s="651"/>
      <c r="G103" s="650" t="s">
        <v>488</v>
      </c>
      <c r="H103" s="650"/>
      <c r="I103" s="582" t="s">
        <v>488</v>
      </c>
      <c r="J103" s="582" t="s">
        <v>488</v>
      </c>
      <c r="K103" s="582" t="s">
        <v>480</v>
      </c>
      <c r="L103" s="582" t="s">
        <v>488</v>
      </c>
      <c r="M103" s="582" t="s">
        <v>480</v>
      </c>
      <c r="N103" s="582" t="s">
        <v>480</v>
      </c>
      <c r="O103" s="582" t="s">
        <v>480</v>
      </c>
      <c r="P103" s="582" t="s">
        <v>480</v>
      </c>
      <c r="Q103" s="582" t="s">
        <v>480</v>
      </c>
      <c r="R103" s="582" t="s">
        <v>480</v>
      </c>
      <c r="S103" s="582" t="s">
        <v>480</v>
      </c>
      <c r="T103" s="650" t="s">
        <v>480</v>
      </c>
      <c r="U103" s="650"/>
      <c r="V103" s="650" t="s">
        <v>480</v>
      </c>
      <c r="W103" s="650"/>
    </row>
    <row r="104" spans="1:23" ht="13.5" customHeight="1">
      <c r="A104" s="648"/>
      <c r="B104" s="648"/>
      <c r="C104" s="577"/>
      <c r="D104" s="577" t="s">
        <v>649</v>
      </c>
      <c r="E104" s="651" t="s">
        <v>650</v>
      </c>
      <c r="F104" s="651"/>
      <c r="G104" s="650" t="s">
        <v>521</v>
      </c>
      <c r="H104" s="650"/>
      <c r="I104" s="582" t="s">
        <v>521</v>
      </c>
      <c r="J104" s="582" t="s">
        <v>521</v>
      </c>
      <c r="K104" s="582" t="s">
        <v>480</v>
      </c>
      <c r="L104" s="582" t="s">
        <v>521</v>
      </c>
      <c r="M104" s="582" t="s">
        <v>480</v>
      </c>
      <c r="N104" s="582" t="s">
        <v>480</v>
      </c>
      <c r="O104" s="582" t="s">
        <v>480</v>
      </c>
      <c r="P104" s="582" t="s">
        <v>480</v>
      </c>
      <c r="Q104" s="582" t="s">
        <v>480</v>
      </c>
      <c r="R104" s="582" t="s">
        <v>480</v>
      </c>
      <c r="S104" s="582" t="s">
        <v>480</v>
      </c>
      <c r="T104" s="650" t="s">
        <v>480</v>
      </c>
      <c r="U104" s="650"/>
      <c r="V104" s="650" t="s">
        <v>480</v>
      </c>
      <c r="W104" s="650"/>
    </row>
    <row r="105" spans="1:23" ht="13.5" customHeight="1">
      <c r="A105" s="648"/>
      <c r="B105" s="648"/>
      <c r="C105" s="577"/>
      <c r="D105" s="577" t="s">
        <v>494</v>
      </c>
      <c r="E105" s="651" t="s">
        <v>495</v>
      </c>
      <c r="F105" s="651"/>
      <c r="G105" s="650" t="s">
        <v>582</v>
      </c>
      <c r="H105" s="650"/>
      <c r="I105" s="582" t="s">
        <v>582</v>
      </c>
      <c r="J105" s="582" t="s">
        <v>582</v>
      </c>
      <c r="K105" s="582" t="s">
        <v>480</v>
      </c>
      <c r="L105" s="582" t="s">
        <v>582</v>
      </c>
      <c r="M105" s="582" t="s">
        <v>480</v>
      </c>
      <c r="N105" s="582" t="s">
        <v>480</v>
      </c>
      <c r="O105" s="582" t="s">
        <v>480</v>
      </c>
      <c r="P105" s="582" t="s">
        <v>480</v>
      </c>
      <c r="Q105" s="582" t="s">
        <v>480</v>
      </c>
      <c r="R105" s="582" t="s">
        <v>480</v>
      </c>
      <c r="S105" s="582" t="s">
        <v>480</v>
      </c>
      <c r="T105" s="650" t="s">
        <v>480</v>
      </c>
      <c r="U105" s="650"/>
      <c r="V105" s="650" t="s">
        <v>480</v>
      </c>
      <c r="W105" s="650"/>
    </row>
    <row r="106" spans="1:23" ht="17.25" customHeight="1">
      <c r="A106" s="648"/>
      <c r="B106" s="648"/>
      <c r="C106" s="577"/>
      <c r="D106" s="577" t="s">
        <v>590</v>
      </c>
      <c r="E106" s="651" t="s">
        <v>591</v>
      </c>
      <c r="F106" s="651"/>
      <c r="G106" s="650" t="s">
        <v>488</v>
      </c>
      <c r="H106" s="650"/>
      <c r="I106" s="582" t="s">
        <v>488</v>
      </c>
      <c r="J106" s="582" t="s">
        <v>488</v>
      </c>
      <c r="K106" s="582" t="s">
        <v>480</v>
      </c>
      <c r="L106" s="582" t="s">
        <v>488</v>
      </c>
      <c r="M106" s="582" t="s">
        <v>480</v>
      </c>
      <c r="N106" s="582" t="s">
        <v>480</v>
      </c>
      <c r="O106" s="582" t="s">
        <v>480</v>
      </c>
      <c r="P106" s="582" t="s">
        <v>480</v>
      </c>
      <c r="Q106" s="582" t="s">
        <v>480</v>
      </c>
      <c r="R106" s="582" t="s">
        <v>480</v>
      </c>
      <c r="S106" s="582" t="s">
        <v>480</v>
      </c>
      <c r="T106" s="650" t="s">
        <v>480</v>
      </c>
      <c r="U106" s="650"/>
      <c r="V106" s="650" t="s">
        <v>480</v>
      </c>
      <c r="W106" s="650"/>
    </row>
    <row r="107" spans="1:23" ht="17.25" customHeight="1">
      <c r="A107" s="648" t="s">
        <v>651</v>
      </c>
      <c r="B107" s="648"/>
      <c r="C107" s="577"/>
      <c r="D107" s="577"/>
      <c r="E107" s="651" t="s">
        <v>133</v>
      </c>
      <c r="F107" s="651"/>
      <c r="G107" s="650" t="s">
        <v>652</v>
      </c>
      <c r="H107" s="650"/>
      <c r="I107" s="582" t="s">
        <v>653</v>
      </c>
      <c r="J107" s="582" t="s">
        <v>654</v>
      </c>
      <c r="K107" s="582" t="s">
        <v>655</v>
      </c>
      <c r="L107" s="582" t="s">
        <v>656</v>
      </c>
      <c r="M107" s="582" t="s">
        <v>480</v>
      </c>
      <c r="N107" s="582" t="s">
        <v>657</v>
      </c>
      <c r="O107" s="582" t="s">
        <v>480</v>
      </c>
      <c r="P107" s="582" t="s">
        <v>480</v>
      </c>
      <c r="Q107" s="582" t="s">
        <v>480</v>
      </c>
      <c r="R107" s="582" t="s">
        <v>658</v>
      </c>
      <c r="S107" s="582" t="s">
        <v>658</v>
      </c>
      <c r="T107" s="650" t="s">
        <v>659</v>
      </c>
      <c r="U107" s="650"/>
      <c r="V107" s="650" t="s">
        <v>480</v>
      </c>
      <c r="W107" s="650"/>
    </row>
    <row r="108" spans="1:23" ht="13.5" customHeight="1">
      <c r="A108" s="648"/>
      <c r="B108" s="648"/>
      <c r="C108" s="577" t="s">
        <v>660</v>
      </c>
      <c r="D108" s="577"/>
      <c r="E108" s="651" t="s">
        <v>661</v>
      </c>
      <c r="F108" s="651"/>
      <c r="G108" s="650" t="s">
        <v>617</v>
      </c>
      <c r="H108" s="650"/>
      <c r="I108" s="582" t="s">
        <v>617</v>
      </c>
      <c r="J108" s="582" t="s">
        <v>617</v>
      </c>
      <c r="K108" s="582" t="s">
        <v>480</v>
      </c>
      <c r="L108" s="582" t="s">
        <v>617</v>
      </c>
      <c r="M108" s="582" t="s">
        <v>480</v>
      </c>
      <c r="N108" s="582" t="s">
        <v>480</v>
      </c>
      <c r="O108" s="582" t="s">
        <v>480</v>
      </c>
      <c r="P108" s="582" t="s">
        <v>480</v>
      </c>
      <c r="Q108" s="582" t="s">
        <v>480</v>
      </c>
      <c r="R108" s="582" t="s">
        <v>480</v>
      </c>
      <c r="S108" s="582" t="s">
        <v>480</v>
      </c>
      <c r="T108" s="650" t="s">
        <v>480</v>
      </c>
      <c r="U108" s="650"/>
      <c r="V108" s="650" t="s">
        <v>480</v>
      </c>
      <c r="W108" s="650"/>
    </row>
    <row r="109" spans="1:23" ht="13.5" customHeight="1">
      <c r="A109" s="648"/>
      <c r="B109" s="648"/>
      <c r="C109" s="577"/>
      <c r="D109" s="577" t="s">
        <v>662</v>
      </c>
      <c r="E109" s="651" t="s">
        <v>663</v>
      </c>
      <c r="F109" s="651"/>
      <c r="G109" s="650" t="s">
        <v>617</v>
      </c>
      <c r="H109" s="650"/>
      <c r="I109" s="582" t="s">
        <v>617</v>
      </c>
      <c r="J109" s="582" t="s">
        <v>617</v>
      </c>
      <c r="K109" s="582" t="s">
        <v>480</v>
      </c>
      <c r="L109" s="582" t="s">
        <v>617</v>
      </c>
      <c r="M109" s="582" t="s">
        <v>480</v>
      </c>
      <c r="N109" s="582" t="s">
        <v>480</v>
      </c>
      <c r="O109" s="582" t="s">
        <v>480</v>
      </c>
      <c r="P109" s="582" t="s">
        <v>480</v>
      </c>
      <c r="Q109" s="582" t="s">
        <v>480</v>
      </c>
      <c r="R109" s="582" t="s">
        <v>480</v>
      </c>
      <c r="S109" s="582" t="s">
        <v>480</v>
      </c>
      <c r="T109" s="650" t="s">
        <v>480</v>
      </c>
      <c r="U109" s="650"/>
      <c r="V109" s="650" t="s">
        <v>480</v>
      </c>
      <c r="W109" s="650"/>
    </row>
    <row r="110" spans="1:23" ht="13.5" customHeight="1">
      <c r="A110" s="648"/>
      <c r="B110" s="648"/>
      <c r="C110" s="577" t="s">
        <v>664</v>
      </c>
      <c r="D110" s="577"/>
      <c r="E110" s="651" t="s">
        <v>665</v>
      </c>
      <c r="F110" s="651"/>
      <c r="G110" s="650" t="s">
        <v>666</v>
      </c>
      <c r="H110" s="650"/>
      <c r="I110" s="582" t="s">
        <v>667</v>
      </c>
      <c r="J110" s="582" t="s">
        <v>668</v>
      </c>
      <c r="K110" s="582" t="s">
        <v>655</v>
      </c>
      <c r="L110" s="582" t="s">
        <v>669</v>
      </c>
      <c r="M110" s="582" t="s">
        <v>480</v>
      </c>
      <c r="N110" s="582" t="s">
        <v>670</v>
      </c>
      <c r="O110" s="582" t="s">
        <v>480</v>
      </c>
      <c r="P110" s="582" t="s">
        <v>480</v>
      </c>
      <c r="Q110" s="582" t="s">
        <v>480</v>
      </c>
      <c r="R110" s="582" t="s">
        <v>658</v>
      </c>
      <c r="S110" s="582" t="s">
        <v>658</v>
      </c>
      <c r="T110" s="650" t="s">
        <v>659</v>
      </c>
      <c r="U110" s="650"/>
      <c r="V110" s="650" t="s">
        <v>480</v>
      </c>
      <c r="W110" s="650"/>
    </row>
    <row r="111" spans="1:23" ht="13.5" customHeight="1">
      <c r="A111" s="648"/>
      <c r="B111" s="648"/>
      <c r="C111" s="577"/>
      <c r="D111" s="577" t="s">
        <v>600</v>
      </c>
      <c r="E111" s="651" t="s">
        <v>601</v>
      </c>
      <c r="F111" s="651"/>
      <c r="G111" s="650" t="s">
        <v>670</v>
      </c>
      <c r="H111" s="650"/>
      <c r="I111" s="582" t="s">
        <v>670</v>
      </c>
      <c r="J111" s="582" t="s">
        <v>480</v>
      </c>
      <c r="K111" s="582" t="s">
        <v>480</v>
      </c>
      <c r="L111" s="582" t="s">
        <v>480</v>
      </c>
      <c r="M111" s="582" t="s">
        <v>480</v>
      </c>
      <c r="N111" s="582" t="s">
        <v>670</v>
      </c>
      <c r="O111" s="582" t="s">
        <v>480</v>
      </c>
      <c r="P111" s="582" t="s">
        <v>480</v>
      </c>
      <c r="Q111" s="582" t="s">
        <v>480</v>
      </c>
      <c r="R111" s="582" t="s">
        <v>480</v>
      </c>
      <c r="S111" s="582" t="s">
        <v>480</v>
      </c>
      <c r="T111" s="650" t="s">
        <v>480</v>
      </c>
      <c r="U111" s="650"/>
      <c r="V111" s="650" t="s">
        <v>480</v>
      </c>
      <c r="W111" s="650"/>
    </row>
    <row r="112" spans="1:23" ht="13.5" customHeight="1">
      <c r="A112" s="648"/>
      <c r="B112" s="648"/>
      <c r="C112" s="577"/>
      <c r="D112" s="577" t="s">
        <v>608</v>
      </c>
      <c r="E112" s="651" t="s">
        <v>609</v>
      </c>
      <c r="F112" s="651"/>
      <c r="G112" s="650" t="s">
        <v>671</v>
      </c>
      <c r="H112" s="650"/>
      <c r="I112" s="582" t="s">
        <v>671</v>
      </c>
      <c r="J112" s="582" t="s">
        <v>671</v>
      </c>
      <c r="K112" s="582" t="s">
        <v>671</v>
      </c>
      <c r="L112" s="582" t="s">
        <v>480</v>
      </c>
      <c r="M112" s="582" t="s">
        <v>480</v>
      </c>
      <c r="N112" s="582" t="s">
        <v>480</v>
      </c>
      <c r="O112" s="582" t="s">
        <v>480</v>
      </c>
      <c r="P112" s="582" t="s">
        <v>480</v>
      </c>
      <c r="Q112" s="582" t="s">
        <v>480</v>
      </c>
      <c r="R112" s="582" t="s">
        <v>480</v>
      </c>
      <c r="S112" s="582" t="s">
        <v>480</v>
      </c>
      <c r="T112" s="650" t="s">
        <v>480</v>
      </c>
      <c r="U112" s="650"/>
      <c r="V112" s="650" t="s">
        <v>480</v>
      </c>
      <c r="W112" s="650"/>
    </row>
    <row r="113" spans="1:23" ht="13.5" customHeight="1">
      <c r="A113" s="648"/>
      <c r="B113" s="648"/>
      <c r="C113" s="577"/>
      <c r="D113" s="577" t="s">
        <v>611</v>
      </c>
      <c r="E113" s="651" t="s">
        <v>612</v>
      </c>
      <c r="F113" s="651"/>
      <c r="G113" s="650" t="s">
        <v>672</v>
      </c>
      <c r="H113" s="650"/>
      <c r="I113" s="582" t="s">
        <v>672</v>
      </c>
      <c r="J113" s="582" t="s">
        <v>672</v>
      </c>
      <c r="K113" s="582" t="s">
        <v>672</v>
      </c>
      <c r="L113" s="582" t="s">
        <v>480</v>
      </c>
      <c r="M113" s="582" t="s">
        <v>480</v>
      </c>
      <c r="N113" s="582" t="s">
        <v>480</v>
      </c>
      <c r="O113" s="582" t="s">
        <v>480</v>
      </c>
      <c r="P113" s="582" t="s">
        <v>480</v>
      </c>
      <c r="Q113" s="582" t="s">
        <v>480</v>
      </c>
      <c r="R113" s="582" t="s">
        <v>480</v>
      </c>
      <c r="S113" s="582" t="s">
        <v>480</v>
      </c>
      <c r="T113" s="650" t="s">
        <v>480</v>
      </c>
      <c r="U113" s="650"/>
      <c r="V113" s="650" t="s">
        <v>480</v>
      </c>
      <c r="W113" s="650"/>
    </row>
    <row r="114" spans="1:23" ht="13.5" customHeight="1">
      <c r="A114" s="648"/>
      <c r="B114" s="648"/>
      <c r="C114" s="577"/>
      <c r="D114" s="577" t="s">
        <v>543</v>
      </c>
      <c r="E114" s="651" t="s">
        <v>544</v>
      </c>
      <c r="F114" s="651"/>
      <c r="G114" s="650" t="s">
        <v>673</v>
      </c>
      <c r="H114" s="650"/>
      <c r="I114" s="582" t="s">
        <v>673</v>
      </c>
      <c r="J114" s="582" t="s">
        <v>673</v>
      </c>
      <c r="K114" s="582" t="s">
        <v>673</v>
      </c>
      <c r="L114" s="582" t="s">
        <v>480</v>
      </c>
      <c r="M114" s="582" t="s">
        <v>480</v>
      </c>
      <c r="N114" s="582" t="s">
        <v>480</v>
      </c>
      <c r="O114" s="582" t="s">
        <v>480</v>
      </c>
      <c r="P114" s="582" t="s">
        <v>480</v>
      </c>
      <c r="Q114" s="582" t="s">
        <v>480</v>
      </c>
      <c r="R114" s="582" t="s">
        <v>480</v>
      </c>
      <c r="S114" s="582" t="s">
        <v>480</v>
      </c>
      <c r="T114" s="650" t="s">
        <v>480</v>
      </c>
      <c r="U114" s="650"/>
      <c r="V114" s="650" t="s">
        <v>480</v>
      </c>
      <c r="W114" s="650"/>
    </row>
    <row r="115" spans="1:23" ht="13.5" customHeight="1">
      <c r="A115" s="648"/>
      <c r="B115" s="648"/>
      <c r="C115" s="577"/>
      <c r="D115" s="577" t="s">
        <v>483</v>
      </c>
      <c r="E115" s="651" t="s">
        <v>484</v>
      </c>
      <c r="F115" s="651"/>
      <c r="G115" s="650" t="s">
        <v>674</v>
      </c>
      <c r="H115" s="650"/>
      <c r="I115" s="582" t="s">
        <v>674</v>
      </c>
      <c r="J115" s="582" t="s">
        <v>674</v>
      </c>
      <c r="K115" s="582" t="s">
        <v>480</v>
      </c>
      <c r="L115" s="582" t="s">
        <v>674</v>
      </c>
      <c r="M115" s="582" t="s">
        <v>480</v>
      </c>
      <c r="N115" s="582" t="s">
        <v>480</v>
      </c>
      <c r="O115" s="582" t="s">
        <v>480</v>
      </c>
      <c r="P115" s="582" t="s">
        <v>480</v>
      </c>
      <c r="Q115" s="582" t="s">
        <v>480</v>
      </c>
      <c r="R115" s="582" t="s">
        <v>480</v>
      </c>
      <c r="S115" s="582" t="s">
        <v>480</v>
      </c>
      <c r="T115" s="650" t="s">
        <v>480</v>
      </c>
      <c r="U115" s="650"/>
      <c r="V115" s="650" t="s">
        <v>480</v>
      </c>
      <c r="W115" s="650"/>
    </row>
    <row r="116" spans="1:23" ht="13.5" customHeight="1">
      <c r="A116" s="648"/>
      <c r="B116" s="648"/>
      <c r="C116" s="577"/>
      <c r="D116" s="577" t="s">
        <v>558</v>
      </c>
      <c r="E116" s="651" t="s">
        <v>559</v>
      </c>
      <c r="F116" s="651"/>
      <c r="G116" s="650" t="s">
        <v>675</v>
      </c>
      <c r="H116" s="650"/>
      <c r="I116" s="582" t="s">
        <v>675</v>
      </c>
      <c r="J116" s="582" t="s">
        <v>675</v>
      </c>
      <c r="K116" s="582" t="s">
        <v>480</v>
      </c>
      <c r="L116" s="582" t="s">
        <v>675</v>
      </c>
      <c r="M116" s="582" t="s">
        <v>480</v>
      </c>
      <c r="N116" s="582" t="s">
        <v>480</v>
      </c>
      <c r="O116" s="582" t="s">
        <v>480</v>
      </c>
      <c r="P116" s="582" t="s">
        <v>480</v>
      </c>
      <c r="Q116" s="582" t="s">
        <v>480</v>
      </c>
      <c r="R116" s="582" t="s">
        <v>480</v>
      </c>
      <c r="S116" s="582" t="s">
        <v>480</v>
      </c>
      <c r="T116" s="650" t="s">
        <v>480</v>
      </c>
      <c r="U116" s="650"/>
      <c r="V116" s="650" t="s">
        <v>480</v>
      </c>
      <c r="W116" s="650"/>
    </row>
    <row r="117" spans="1:23" ht="13.5" customHeight="1">
      <c r="A117" s="648"/>
      <c r="B117" s="648"/>
      <c r="C117" s="577"/>
      <c r="D117" s="577" t="s">
        <v>517</v>
      </c>
      <c r="E117" s="651" t="s">
        <v>518</v>
      </c>
      <c r="F117" s="651"/>
      <c r="G117" s="650" t="s">
        <v>616</v>
      </c>
      <c r="H117" s="650"/>
      <c r="I117" s="582" t="s">
        <v>616</v>
      </c>
      <c r="J117" s="582" t="s">
        <v>616</v>
      </c>
      <c r="K117" s="582" t="s">
        <v>480</v>
      </c>
      <c r="L117" s="582" t="s">
        <v>616</v>
      </c>
      <c r="M117" s="582" t="s">
        <v>480</v>
      </c>
      <c r="N117" s="582" t="s">
        <v>480</v>
      </c>
      <c r="O117" s="582" t="s">
        <v>480</v>
      </c>
      <c r="P117" s="582" t="s">
        <v>480</v>
      </c>
      <c r="Q117" s="582" t="s">
        <v>480</v>
      </c>
      <c r="R117" s="582" t="s">
        <v>480</v>
      </c>
      <c r="S117" s="582" t="s">
        <v>480</v>
      </c>
      <c r="T117" s="650" t="s">
        <v>480</v>
      </c>
      <c r="U117" s="650"/>
      <c r="V117" s="650" t="s">
        <v>480</v>
      </c>
      <c r="W117" s="650"/>
    </row>
    <row r="118" spans="1:23" ht="13.5" customHeight="1">
      <c r="A118" s="648"/>
      <c r="B118" s="648"/>
      <c r="C118" s="577"/>
      <c r="D118" s="577" t="s">
        <v>621</v>
      </c>
      <c r="E118" s="651" t="s">
        <v>622</v>
      </c>
      <c r="F118" s="651"/>
      <c r="G118" s="650" t="s">
        <v>676</v>
      </c>
      <c r="H118" s="650"/>
      <c r="I118" s="582" t="s">
        <v>676</v>
      </c>
      <c r="J118" s="582" t="s">
        <v>676</v>
      </c>
      <c r="K118" s="582" t="s">
        <v>480</v>
      </c>
      <c r="L118" s="582" t="s">
        <v>676</v>
      </c>
      <c r="M118" s="582" t="s">
        <v>480</v>
      </c>
      <c r="N118" s="582" t="s">
        <v>480</v>
      </c>
      <c r="O118" s="582" t="s">
        <v>480</v>
      </c>
      <c r="P118" s="582" t="s">
        <v>480</v>
      </c>
      <c r="Q118" s="582" t="s">
        <v>480</v>
      </c>
      <c r="R118" s="582" t="s">
        <v>480</v>
      </c>
      <c r="S118" s="582" t="s">
        <v>480</v>
      </c>
      <c r="T118" s="650" t="s">
        <v>480</v>
      </c>
      <c r="U118" s="650"/>
      <c r="V118" s="650" t="s">
        <v>480</v>
      </c>
      <c r="W118" s="650"/>
    </row>
    <row r="119" spans="1:23" ht="13.5" customHeight="1">
      <c r="A119" s="648"/>
      <c r="B119" s="648"/>
      <c r="C119" s="577"/>
      <c r="D119" s="577" t="s">
        <v>486</v>
      </c>
      <c r="E119" s="651" t="s">
        <v>487</v>
      </c>
      <c r="F119" s="651"/>
      <c r="G119" s="650" t="s">
        <v>677</v>
      </c>
      <c r="H119" s="650"/>
      <c r="I119" s="582" t="s">
        <v>677</v>
      </c>
      <c r="J119" s="582" t="s">
        <v>677</v>
      </c>
      <c r="K119" s="582" t="s">
        <v>480</v>
      </c>
      <c r="L119" s="582" t="s">
        <v>677</v>
      </c>
      <c r="M119" s="582" t="s">
        <v>480</v>
      </c>
      <c r="N119" s="582" t="s">
        <v>480</v>
      </c>
      <c r="O119" s="582" t="s">
        <v>480</v>
      </c>
      <c r="P119" s="582" t="s">
        <v>480</v>
      </c>
      <c r="Q119" s="582" t="s">
        <v>480</v>
      </c>
      <c r="R119" s="582" t="s">
        <v>480</v>
      </c>
      <c r="S119" s="582" t="s">
        <v>480</v>
      </c>
      <c r="T119" s="650" t="s">
        <v>480</v>
      </c>
      <c r="U119" s="650"/>
      <c r="V119" s="650" t="s">
        <v>480</v>
      </c>
      <c r="W119" s="650"/>
    </row>
    <row r="120" spans="1:23" ht="24" customHeight="1">
      <c r="A120" s="648"/>
      <c r="B120" s="648"/>
      <c r="C120" s="577"/>
      <c r="D120" s="577" t="s">
        <v>626</v>
      </c>
      <c r="E120" s="651" t="s">
        <v>627</v>
      </c>
      <c r="F120" s="651"/>
      <c r="G120" s="650" t="s">
        <v>488</v>
      </c>
      <c r="H120" s="650"/>
      <c r="I120" s="582" t="s">
        <v>488</v>
      </c>
      <c r="J120" s="582" t="s">
        <v>488</v>
      </c>
      <c r="K120" s="582" t="s">
        <v>480</v>
      </c>
      <c r="L120" s="582" t="s">
        <v>488</v>
      </c>
      <c r="M120" s="582" t="s">
        <v>480</v>
      </c>
      <c r="N120" s="582" t="s">
        <v>480</v>
      </c>
      <c r="O120" s="582" t="s">
        <v>480</v>
      </c>
      <c r="P120" s="582" t="s">
        <v>480</v>
      </c>
      <c r="Q120" s="582" t="s">
        <v>480</v>
      </c>
      <c r="R120" s="582" t="s">
        <v>480</v>
      </c>
      <c r="S120" s="582" t="s">
        <v>480</v>
      </c>
      <c r="T120" s="650" t="s">
        <v>480</v>
      </c>
      <c r="U120" s="650"/>
      <c r="V120" s="650" t="s">
        <v>480</v>
      </c>
      <c r="W120" s="650"/>
    </row>
    <row r="121" spans="1:23" ht="13.5" customHeight="1">
      <c r="A121" s="648"/>
      <c r="B121" s="648"/>
      <c r="C121" s="577"/>
      <c r="D121" s="577" t="s">
        <v>588</v>
      </c>
      <c r="E121" s="651" t="s">
        <v>589</v>
      </c>
      <c r="F121" s="651"/>
      <c r="G121" s="650" t="s">
        <v>672</v>
      </c>
      <c r="H121" s="650"/>
      <c r="I121" s="582" t="s">
        <v>672</v>
      </c>
      <c r="J121" s="582" t="s">
        <v>672</v>
      </c>
      <c r="K121" s="582" t="s">
        <v>480</v>
      </c>
      <c r="L121" s="582" t="s">
        <v>672</v>
      </c>
      <c r="M121" s="582" t="s">
        <v>480</v>
      </c>
      <c r="N121" s="582" t="s">
        <v>480</v>
      </c>
      <c r="O121" s="582" t="s">
        <v>480</v>
      </c>
      <c r="P121" s="582" t="s">
        <v>480</v>
      </c>
      <c r="Q121" s="582" t="s">
        <v>480</v>
      </c>
      <c r="R121" s="582" t="s">
        <v>480</v>
      </c>
      <c r="S121" s="582" t="s">
        <v>480</v>
      </c>
      <c r="T121" s="650" t="s">
        <v>480</v>
      </c>
      <c r="U121" s="650"/>
      <c r="V121" s="650" t="s">
        <v>480</v>
      </c>
      <c r="W121" s="650"/>
    </row>
    <row r="122" spans="1:23" ht="13.5" customHeight="1">
      <c r="A122" s="648"/>
      <c r="B122" s="648"/>
      <c r="C122" s="577"/>
      <c r="D122" s="577" t="s">
        <v>494</v>
      </c>
      <c r="E122" s="651" t="s">
        <v>495</v>
      </c>
      <c r="F122" s="651"/>
      <c r="G122" s="650" t="s">
        <v>678</v>
      </c>
      <c r="H122" s="650"/>
      <c r="I122" s="582" t="s">
        <v>678</v>
      </c>
      <c r="J122" s="582" t="s">
        <v>678</v>
      </c>
      <c r="K122" s="582" t="s">
        <v>480</v>
      </c>
      <c r="L122" s="582" t="s">
        <v>678</v>
      </c>
      <c r="M122" s="582" t="s">
        <v>480</v>
      </c>
      <c r="N122" s="582" t="s">
        <v>480</v>
      </c>
      <c r="O122" s="582" t="s">
        <v>480</v>
      </c>
      <c r="P122" s="582" t="s">
        <v>480</v>
      </c>
      <c r="Q122" s="582" t="s">
        <v>480</v>
      </c>
      <c r="R122" s="582" t="s">
        <v>480</v>
      </c>
      <c r="S122" s="582" t="s">
        <v>480</v>
      </c>
      <c r="T122" s="650" t="s">
        <v>480</v>
      </c>
      <c r="U122" s="650"/>
      <c r="V122" s="650" t="s">
        <v>480</v>
      </c>
      <c r="W122" s="650"/>
    </row>
    <row r="123" spans="1:23" ht="17.25" customHeight="1">
      <c r="A123" s="648"/>
      <c r="B123" s="648"/>
      <c r="C123" s="577"/>
      <c r="D123" s="577" t="s">
        <v>590</v>
      </c>
      <c r="E123" s="651" t="s">
        <v>591</v>
      </c>
      <c r="F123" s="651"/>
      <c r="G123" s="650" t="s">
        <v>679</v>
      </c>
      <c r="H123" s="650"/>
      <c r="I123" s="582" t="s">
        <v>679</v>
      </c>
      <c r="J123" s="582" t="s">
        <v>679</v>
      </c>
      <c r="K123" s="582" t="s">
        <v>480</v>
      </c>
      <c r="L123" s="582" t="s">
        <v>679</v>
      </c>
      <c r="M123" s="582" t="s">
        <v>480</v>
      </c>
      <c r="N123" s="582" t="s">
        <v>480</v>
      </c>
      <c r="O123" s="582" t="s">
        <v>480</v>
      </c>
      <c r="P123" s="582" t="s">
        <v>480</v>
      </c>
      <c r="Q123" s="582" t="s">
        <v>480</v>
      </c>
      <c r="R123" s="582" t="s">
        <v>480</v>
      </c>
      <c r="S123" s="582" t="s">
        <v>480</v>
      </c>
      <c r="T123" s="650" t="s">
        <v>480</v>
      </c>
      <c r="U123" s="650"/>
      <c r="V123" s="650" t="s">
        <v>480</v>
      </c>
      <c r="W123" s="650"/>
    </row>
    <row r="124" spans="1:23" ht="13.5" customHeight="1">
      <c r="A124" s="648"/>
      <c r="B124" s="648"/>
      <c r="C124" s="577"/>
      <c r="D124" s="577" t="s">
        <v>522</v>
      </c>
      <c r="E124" s="651" t="s">
        <v>523</v>
      </c>
      <c r="F124" s="651"/>
      <c r="G124" s="650" t="s">
        <v>521</v>
      </c>
      <c r="H124" s="650"/>
      <c r="I124" s="582" t="s">
        <v>480</v>
      </c>
      <c r="J124" s="582" t="s">
        <v>480</v>
      </c>
      <c r="K124" s="582" t="s">
        <v>480</v>
      </c>
      <c r="L124" s="582" t="s">
        <v>480</v>
      </c>
      <c r="M124" s="582" t="s">
        <v>480</v>
      </c>
      <c r="N124" s="582" t="s">
        <v>480</v>
      </c>
      <c r="O124" s="582" t="s">
        <v>480</v>
      </c>
      <c r="P124" s="582" t="s">
        <v>480</v>
      </c>
      <c r="Q124" s="582" t="s">
        <v>480</v>
      </c>
      <c r="R124" s="582" t="s">
        <v>521</v>
      </c>
      <c r="S124" s="582" t="s">
        <v>521</v>
      </c>
      <c r="T124" s="650" t="s">
        <v>480</v>
      </c>
      <c r="U124" s="650"/>
      <c r="V124" s="650" t="s">
        <v>480</v>
      </c>
      <c r="W124" s="650"/>
    </row>
    <row r="125" spans="1:23" ht="13.5" customHeight="1">
      <c r="A125" s="648"/>
      <c r="B125" s="648"/>
      <c r="C125" s="577"/>
      <c r="D125" s="577" t="s">
        <v>525</v>
      </c>
      <c r="E125" s="651" t="s">
        <v>523</v>
      </c>
      <c r="F125" s="651"/>
      <c r="G125" s="650" t="s">
        <v>680</v>
      </c>
      <c r="H125" s="650"/>
      <c r="I125" s="582" t="s">
        <v>480</v>
      </c>
      <c r="J125" s="582" t="s">
        <v>480</v>
      </c>
      <c r="K125" s="582" t="s">
        <v>480</v>
      </c>
      <c r="L125" s="582" t="s">
        <v>480</v>
      </c>
      <c r="M125" s="582" t="s">
        <v>480</v>
      </c>
      <c r="N125" s="582" t="s">
        <v>480</v>
      </c>
      <c r="O125" s="582" t="s">
        <v>480</v>
      </c>
      <c r="P125" s="582" t="s">
        <v>480</v>
      </c>
      <c r="Q125" s="582" t="s">
        <v>480</v>
      </c>
      <c r="R125" s="582" t="s">
        <v>680</v>
      </c>
      <c r="S125" s="582" t="s">
        <v>680</v>
      </c>
      <c r="T125" s="650" t="s">
        <v>680</v>
      </c>
      <c r="U125" s="650"/>
      <c r="V125" s="650" t="s">
        <v>480</v>
      </c>
      <c r="W125" s="650"/>
    </row>
    <row r="126" spans="1:23" ht="13.5" customHeight="1">
      <c r="A126" s="648"/>
      <c r="B126" s="648"/>
      <c r="C126" s="577"/>
      <c r="D126" s="577" t="s">
        <v>527</v>
      </c>
      <c r="E126" s="651" t="s">
        <v>523</v>
      </c>
      <c r="F126" s="651"/>
      <c r="G126" s="650" t="s">
        <v>680</v>
      </c>
      <c r="H126" s="650"/>
      <c r="I126" s="582" t="s">
        <v>480</v>
      </c>
      <c r="J126" s="582" t="s">
        <v>480</v>
      </c>
      <c r="K126" s="582" t="s">
        <v>480</v>
      </c>
      <c r="L126" s="582" t="s">
        <v>480</v>
      </c>
      <c r="M126" s="582" t="s">
        <v>480</v>
      </c>
      <c r="N126" s="582" t="s">
        <v>480</v>
      </c>
      <c r="O126" s="582" t="s">
        <v>480</v>
      </c>
      <c r="P126" s="582" t="s">
        <v>480</v>
      </c>
      <c r="Q126" s="582" t="s">
        <v>480</v>
      </c>
      <c r="R126" s="582" t="s">
        <v>680</v>
      </c>
      <c r="S126" s="582" t="s">
        <v>680</v>
      </c>
      <c r="T126" s="650" t="s">
        <v>680</v>
      </c>
      <c r="U126" s="650"/>
      <c r="V126" s="650" t="s">
        <v>480</v>
      </c>
      <c r="W126" s="650"/>
    </row>
    <row r="127" spans="1:23" ht="30" customHeight="1">
      <c r="A127" s="648"/>
      <c r="B127" s="648"/>
      <c r="C127" s="577"/>
      <c r="D127" s="577" t="s">
        <v>681</v>
      </c>
      <c r="E127" s="651" t="s">
        <v>682</v>
      </c>
      <c r="F127" s="651"/>
      <c r="G127" s="650" t="s">
        <v>683</v>
      </c>
      <c r="H127" s="650"/>
      <c r="I127" s="582" t="s">
        <v>480</v>
      </c>
      <c r="J127" s="582" t="s">
        <v>480</v>
      </c>
      <c r="K127" s="582" t="s">
        <v>480</v>
      </c>
      <c r="L127" s="582" t="s">
        <v>480</v>
      </c>
      <c r="M127" s="582" t="s">
        <v>480</v>
      </c>
      <c r="N127" s="582" t="s">
        <v>480</v>
      </c>
      <c r="O127" s="582" t="s">
        <v>480</v>
      </c>
      <c r="P127" s="582" t="s">
        <v>480</v>
      </c>
      <c r="Q127" s="582" t="s">
        <v>480</v>
      </c>
      <c r="R127" s="582" t="s">
        <v>683</v>
      </c>
      <c r="S127" s="582" t="s">
        <v>683</v>
      </c>
      <c r="T127" s="650" t="s">
        <v>480</v>
      </c>
      <c r="U127" s="650"/>
      <c r="V127" s="650" t="s">
        <v>480</v>
      </c>
      <c r="W127" s="650"/>
    </row>
    <row r="128" spans="1:23" ht="13.5" customHeight="1">
      <c r="A128" s="648"/>
      <c r="B128" s="648"/>
      <c r="C128" s="577" t="s">
        <v>684</v>
      </c>
      <c r="D128" s="577"/>
      <c r="E128" s="651" t="s">
        <v>137</v>
      </c>
      <c r="F128" s="651"/>
      <c r="G128" s="650" t="s">
        <v>685</v>
      </c>
      <c r="H128" s="650"/>
      <c r="I128" s="582" t="s">
        <v>685</v>
      </c>
      <c r="J128" s="582" t="s">
        <v>686</v>
      </c>
      <c r="K128" s="582" t="s">
        <v>480</v>
      </c>
      <c r="L128" s="582" t="s">
        <v>686</v>
      </c>
      <c r="M128" s="582" t="s">
        <v>480</v>
      </c>
      <c r="N128" s="582" t="s">
        <v>687</v>
      </c>
      <c r="O128" s="582" t="s">
        <v>480</v>
      </c>
      <c r="P128" s="582" t="s">
        <v>480</v>
      </c>
      <c r="Q128" s="582" t="s">
        <v>480</v>
      </c>
      <c r="R128" s="582" t="s">
        <v>480</v>
      </c>
      <c r="S128" s="582" t="s">
        <v>480</v>
      </c>
      <c r="T128" s="650" t="s">
        <v>480</v>
      </c>
      <c r="U128" s="650"/>
      <c r="V128" s="650" t="s">
        <v>480</v>
      </c>
      <c r="W128" s="650"/>
    </row>
    <row r="129" spans="1:23" ht="13.5" customHeight="1">
      <c r="A129" s="648"/>
      <c r="B129" s="648"/>
      <c r="C129" s="577"/>
      <c r="D129" s="577" t="s">
        <v>585</v>
      </c>
      <c r="E129" s="651" t="s">
        <v>586</v>
      </c>
      <c r="F129" s="651"/>
      <c r="G129" s="650" t="s">
        <v>687</v>
      </c>
      <c r="H129" s="650"/>
      <c r="I129" s="582" t="s">
        <v>687</v>
      </c>
      <c r="J129" s="582" t="s">
        <v>480</v>
      </c>
      <c r="K129" s="582" t="s">
        <v>480</v>
      </c>
      <c r="L129" s="582" t="s">
        <v>480</v>
      </c>
      <c r="M129" s="582" t="s">
        <v>480</v>
      </c>
      <c r="N129" s="582" t="s">
        <v>687</v>
      </c>
      <c r="O129" s="582" t="s">
        <v>480</v>
      </c>
      <c r="P129" s="582" t="s">
        <v>480</v>
      </c>
      <c r="Q129" s="582" t="s">
        <v>480</v>
      </c>
      <c r="R129" s="582" t="s">
        <v>480</v>
      </c>
      <c r="S129" s="582" t="s">
        <v>480</v>
      </c>
      <c r="T129" s="650" t="s">
        <v>480</v>
      </c>
      <c r="U129" s="650"/>
      <c r="V129" s="650" t="s">
        <v>480</v>
      </c>
      <c r="W129" s="650"/>
    </row>
    <row r="130" spans="1:23" ht="13.5" customHeight="1">
      <c r="A130" s="648"/>
      <c r="B130" s="648"/>
      <c r="C130" s="577"/>
      <c r="D130" s="577" t="s">
        <v>483</v>
      </c>
      <c r="E130" s="651" t="s">
        <v>484</v>
      </c>
      <c r="F130" s="651"/>
      <c r="G130" s="650" t="s">
        <v>688</v>
      </c>
      <c r="H130" s="650"/>
      <c r="I130" s="582" t="s">
        <v>688</v>
      </c>
      <c r="J130" s="582" t="s">
        <v>688</v>
      </c>
      <c r="K130" s="582" t="s">
        <v>480</v>
      </c>
      <c r="L130" s="582" t="s">
        <v>688</v>
      </c>
      <c r="M130" s="582" t="s">
        <v>480</v>
      </c>
      <c r="N130" s="582" t="s">
        <v>480</v>
      </c>
      <c r="O130" s="582" t="s">
        <v>480</v>
      </c>
      <c r="P130" s="582" t="s">
        <v>480</v>
      </c>
      <c r="Q130" s="582" t="s">
        <v>480</v>
      </c>
      <c r="R130" s="582" t="s">
        <v>480</v>
      </c>
      <c r="S130" s="582" t="s">
        <v>480</v>
      </c>
      <c r="T130" s="650" t="s">
        <v>480</v>
      </c>
      <c r="U130" s="650"/>
      <c r="V130" s="650" t="s">
        <v>480</v>
      </c>
      <c r="W130" s="650"/>
    </row>
    <row r="131" spans="1:23" ht="13.5" customHeight="1">
      <c r="A131" s="648"/>
      <c r="B131" s="648"/>
      <c r="C131" s="577"/>
      <c r="D131" s="577" t="s">
        <v>486</v>
      </c>
      <c r="E131" s="651" t="s">
        <v>487</v>
      </c>
      <c r="F131" s="651"/>
      <c r="G131" s="650" t="s">
        <v>648</v>
      </c>
      <c r="H131" s="650"/>
      <c r="I131" s="582" t="s">
        <v>648</v>
      </c>
      <c r="J131" s="582" t="s">
        <v>648</v>
      </c>
      <c r="K131" s="582" t="s">
        <v>480</v>
      </c>
      <c r="L131" s="582" t="s">
        <v>648</v>
      </c>
      <c r="M131" s="582" t="s">
        <v>480</v>
      </c>
      <c r="N131" s="582" t="s">
        <v>480</v>
      </c>
      <c r="O131" s="582" t="s">
        <v>480</v>
      </c>
      <c r="P131" s="582" t="s">
        <v>480</v>
      </c>
      <c r="Q131" s="582" t="s">
        <v>480</v>
      </c>
      <c r="R131" s="582" t="s">
        <v>480</v>
      </c>
      <c r="S131" s="582" t="s">
        <v>480</v>
      </c>
      <c r="T131" s="650" t="s">
        <v>480</v>
      </c>
      <c r="U131" s="650"/>
      <c r="V131" s="650" t="s">
        <v>480</v>
      </c>
      <c r="W131" s="650"/>
    </row>
    <row r="132" spans="1:23" ht="13.5" customHeight="1">
      <c r="A132" s="648"/>
      <c r="B132" s="648"/>
      <c r="C132" s="577"/>
      <c r="D132" s="577" t="s">
        <v>588</v>
      </c>
      <c r="E132" s="651" t="s">
        <v>589</v>
      </c>
      <c r="F132" s="651"/>
      <c r="G132" s="650" t="s">
        <v>488</v>
      </c>
      <c r="H132" s="650"/>
      <c r="I132" s="582" t="s">
        <v>488</v>
      </c>
      <c r="J132" s="582" t="s">
        <v>488</v>
      </c>
      <c r="K132" s="582" t="s">
        <v>480</v>
      </c>
      <c r="L132" s="582" t="s">
        <v>488</v>
      </c>
      <c r="M132" s="582" t="s">
        <v>480</v>
      </c>
      <c r="N132" s="582" t="s">
        <v>480</v>
      </c>
      <c r="O132" s="582" t="s">
        <v>480</v>
      </c>
      <c r="P132" s="582" t="s">
        <v>480</v>
      </c>
      <c r="Q132" s="582" t="s">
        <v>480</v>
      </c>
      <c r="R132" s="582" t="s">
        <v>480</v>
      </c>
      <c r="S132" s="582" t="s">
        <v>480</v>
      </c>
      <c r="T132" s="650" t="s">
        <v>480</v>
      </c>
      <c r="U132" s="650"/>
      <c r="V132" s="650" t="s">
        <v>480</v>
      </c>
      <c r="W132" s="650"/>
    </row>
    <row r="133" spans="1:23" ht="24" customHeight="1">
      <c r="A133" s="648" t="s">
        <v>689</v>
      </c>
      <c r="B133" s="648"/>
      <c r="C133" s="577"/>
      <c r="D133" s="577"/>
      <c r="E133" s="651" t="s">
        <v>690</v>
      </c>
      <c r="F133" s="651"/>
      <c r="G133" s="650" t="s">
        <v>691</v>
      </c>
      <c r="H133" s="650"/>
      <c r="I133" s="582" t="s">
        <v>691</v>
      </c>
      <c r="J133" s="582" t="s">
        <v>691</v>
      </c>
      <c r="K133" s="582" t="s">
        <v>692</v>
      </c>
      <c r="L133" s="582" t="s">
        <v>693</v>
      </c>
      <c r="M133" s="582" t="s">
        <v>480</v>
      </c>
      <c r="N133" s="582" t="s">
        <v>480</v>
      </c>
      <c r="O133" s="582" t="s">
        <v>480</v>
      </c>
      <c r="P133" s="582" t="s">
        <v>480</v>
      </c>
      <c r="Q133" s="582" t="s">
        <v>480</v>
      </c>
      <c r="R133" s="582" t="s">
        <v>480</v>
      </c>
      <c r="S133" s="582" t="s">
        <v>480</v>
      </c>
      <c r="T133" s="650" t="s">
        <v>480</v>
      </c>
      <c r="U133" s="650"/>
      <c r="V133" s="650" t="s">
        <v>480</v>
      </c>
      <c r="W133" s="650"/>
    </row>
    <row r="134" spans="1:23" ht="17.25" customHeight="1">
      <c r="A134" s="648"/>
      <c r="B134" s="648"/>
      <c r="C134" s="577" t="s">
        <v>694</v>
      </c>
      <c r="D134" s="577"/>
      <c r="E134" s="651" t="s">
        <v>695</v>
      </c>
      <c r="F134" s="651"/>
      <c r="G134" s="650" t="s">
        <v>691</v>
      </c>
      <c r="H134" s="650"/>
      <c r="I134" s="582" t="s">
        <v>691</v>
      </c>
      <c r="J134" s="582" t="s">
        <v>691</v>
      </c>
      <c r="K134" s="582" t="s">
        <v>692</v>
      </c>
      <c r="L134" s="582" t="s">
        <v>693</v>
      </c>
      <c r="M134" s="582" t="s">
        <v>480</v>
      </c>
      <c r="N134" s="582" t="s">
        <v>480</v>
      </c>
      <c r="O134" s="582" t="s">
        <v>480</v>
      </c>
      <c r="P134" s="582" t="s">
        <v>480</v>
      </c>
      <c r="Q134" s="582" t="s">
        <v>480</v>
      </c>
      <c r="R134" s="582" t="s">
        <v>480</v>
      </c>
      <c r="S134" s="582" t="s">
        <v>480</v>
      </c>
      <c r="T134" s="650" t="s">
        <v>480</v>
      </c>
      <c r="U134" s="650"/>
      <c r="V134" s="650" t="s">
        <v>480</v>
      </c>
      <c r="W134" s="650"/>
    </row>
    <row r="135" spans="1:23" ht="13.5" customHeight="1">
      <c r="A135" s="648"/>
      <c r="B135" s="648"/>
      <c r="C135" s="577"/>
      <c r="D135" s="577" t="s">
        <v>696</v>
      </c>
      <c r="E135" s="651" t="s">
        <v>697</v>
      </c>
      <c r="F135" s="651"/>
      <c r="G135" s="650" t="s">
        <v>698</v>
      </c>
      <c r="H135" s="650"/>
      <c r="I135" s="582" t="s">
        <v>698</v>
      </c>
      <c r="J135" s="582" t="s">
        <v>698</v>
      </c>
      <c r="K135" s="582" t="s">
        <v>698</v>
      </c>
      <c r="L135" s="582" t="s">
        <v>480</v>
      </c>
      <c r="M135" s="582" t="s">
        <v>480</v>
      </c>
      <c r="N135" s="582" t="s">
        <v>480</v>
      </c>
      <c r="O135" s="582" t="s">
        <v>480</v>
      </c>
      <c r="P135" s="582" t="s">
        <v>480</v>
      </c>
      <c r="Q135" s="582" t="s">
        <v>480</v>
      </c>
      <c r="R135" s="582" t="s">
        <v>480</v>
      </c>
      <c r="S135" s="582" t="s">
        <v>480</v>
      </c>
      <c r="T135" s="650" t="s">
        <v>480</v>
      </c>
      <c r="U135" s="650"/>
      <c r="V135" s="650" t="s">
        <v>480</v>
      </c>
      <c r="W135" s="650"/>
    </row>
    <row r="136" spans="1:23" ht="13.5" customHeight="1">
      <c r="A136" s="648"/>
      <c r="B136" s="648"/>
      <c r="C136" s="577"/>
      <c r="D136" s="577" t="s">
        <v>608</v>
      </c>
      <c r="E136" s="651" t="s">
        <v>609</v>
      </c>
      <c r="F136" s="651"/>
      <c r="G136" s="650" t="s">
        <v>699</v>
      </c>
      <c r="H136" s="650"/>
      <c r="I136" s="582" t="s">
        <v>699</v>
      </c>
      <c r="J136" s="582" t="s">
        <v>699</v>
      </c>
      <c r="K136" s="582" t="s">
        <v>699</v>
      </c>
      <c r="L136" s="582" t="s">
        <v>480</v>
      </c>
      <c r="M136" s="582" t="s">
        <v>480</v>
      </c>
      <c r="N136" s="582" t="s">
        <v>480</v>
      </c>
      <c r="O136" s="582" t="s">
        <v>480</v>
      </c>
      <c r="P136" s="582" t="s">
        <v>480</v>
      </c>
      <c r="Q136" s="582" t="s">
        <v>480</v>
      </c>
      <c r="R136" s="582" t="s">
        <v>480</v>
      </c>
      <c r="S136" s="582" t="s">
        <v>480</v>
      </c>
      <c r="T136" s="650" t="s">
        <v>480</v>
      </c>
      <c r="U136" s="650"/>
      <c r="V136" s="650" t="s">
        <v>480</v>
      </c>
      <c r="W136" s="650"/>
    </row>
    <row r="137" spans="1:23" ht="13.5" customHeight="1">
      <c r="A137" s="648"/>
      <c r="B137" s="648"/>
      <c r="C137" s="577"/>
      <c r="D137" s="577" t="s">
        <v>611</v>
      </c>
      <c r="E137" s="651" t="s">
        <v>612</v>
      </c>
      <c r="F137" s="651"/>
      <c r="G137" s="650" t="s">
        <v>700</v>
      </c>
      <c r="H137" s="650"/>
      <c r="I137" s="582" t="s">
        <v>700</v>
      </c>
      <c r="J137" s="582" t="s">
        <v>700</v>
      </c>
      <c r="K137" s="582" t="s">
        <v>700</v>
      </c>
      <c r="L137" s="582" t="s">
        <v>480</v>
      </c>
      <c r="M137" s="582" t="s">
        <v>480</v>
      </c>
      <c r="N137" s="582" t="s">
        <v>480</v>
      </c>
      <c r="O137" s="582" t="s">
        <v>480</v>
      </c>
      <c r="P137" s="582" t="s">
        <v>480</v>
      </c>
      <c r="Q137" s="582" t="s">
        <v>480</v>
      </c>
      <c r="R137" s="582" t="s">
        <v>480</v>
      </c>
      <c r="S137" s="582" t="s">
        <v>480</v>
      </c>
      <c r="T137" s="650" t="s">
        <v>480</v>
      </c>
      <c r="U137" s="650"/>
      <c r="V137" s="650" t="s">
        <v>480</v>
      </c>
      <c r="W137" s="650"/>
    </row>
    <row r="138" spans="1:23" ht="13.5" customHeight="1">
      <c r="A138" s="648"/>
      <c r="B138" s="648"/>
      <c r="C138" s="577"/>
      <c r="D138" s="577" t="s">
        <v>483</v>
      </c>
      <c r="E138" s="651" t="s">
        <v>484</v>
      </c>
      <c r="F138" s="651"/>
      <c r="G138" s="650" t="s">
        <v>488</v>
      </c>
      <c r="H138" s="650"/>
      <c r="I138" s="582" t="s">
        <v>488</v>
      </c>
      <c r="J138" s="582" t="s">
        <v>488</v>
      </c>
      <c r="K138" s="582" t="s">
        <v>480</v>
      </c>
      <c r="L138" s="582" t="s">
        <v>488</v>
      </c>
      <c r="M138" s="582" t="s">
        <v>480</v>
      </c>
      <c r="N138" s="582" t="s">
        <v>480</v>
      </c>
      <c r="O138" s="582" t="s">
        <v>480</v>
      </c>
      <c r="P138" s="582" t="s">
        <v>480</v>
      </c>
      <c r="Q138" s="582" t="s">
        <v>480</v>
      </c>
      <c r="R138" s="582" t="s">
        <v>480</v>
      </c>
      <c r="S138" s="582" t="s">
        <v>480</v>
      </c>
      <c r="T138" s="650" t="s">
        <v>480</v>
      </c>
      <c r="U138" s="650"/>
      <c r="V138" s="650" t="s">
        <v>480</v>
      </c>
      <c r="W138" s="650"/>
    </row>
    <row r="139" spans="1:23" ht="13.5" customHeight="1">
      <c r="A139" s="648"/>
      <c r="B139" s="648"/>
      <c r="C139" s="577"/>
      <c r="D139" s="577" t="s">
        <v>486</v>
      </c>
      <c r="E139" s="651" t="s">
        <v>487</v>
      </c>
      <c r="F139" s="651"/>
      <c r="G139" s="650" t="s">
        <v>531</v>
      </c>
      <c r="H139" s="650"/>
      <c r="I139" s="582" t="s">
        <v>531</v>
      </c>
      <c r="J139" s="582" t="s">
        <v>531</v>
      </c>
      <c r="K139" s="582" t="s">
        <v>480</v>
      </c>
      <c r="L139" s="582" t="s">
        <v>531</v>
      </c>
      <c r="M139" s="582" t="s">
        <v>480</v>
      </c>
      <c r="N139" s="582" t="s">
        <v>480</v>
      </c>
      <c r="O139" s="582" t="s">
        <v>480</v>
      </c>
      <c r="P139" s="582" t="s">
        <v>480</v>
      </c>
      <c r="Q139" s="582" t="s">
        <v>480</v>
      </c>
      <c r="R139" s="582" t="s">
        <v>480</v>
      </c>
      <c r="S139" s="582" t="s">
        <v>480</v>
      </c>
      <c r="T139" s="650" t="s">
        <v>480</v>
      </c>
      <c r="U139" s="650"/>
      <c r="V139" s="650" t="s">
        <v>480</v>
      </c>
      <c r="W139" s="650"/>
    </row>
    <row r="140" spans="1:23" ht="13.5" customHeight="1">
      <c r="A140" s="648"/>
      <c r="B140" s="648"/>
      <c r="C140" s="577"/>
      <c r="D140" s="577" t="s">
        <v>588</v>
      </c>
      <c r="E140" s="651" t="s">
        <v>589</v>
      </c>
      <c r="F140" s="651"/>
      <c r="G140" s="650" t="s">
        <v>672</v>
      </c>
      <c r="H140" s="650"/>
      <c r="I140" s="582" t="s">
        <v>672</v>
      </c>
      <c r="J140" s="582" t="s">
        <v>672</v>
      </c>
      <c r="K140" s="582" t="s">
        <v>480</v>
      </c>
      <c r="L140" s="582" t="s">
        <v>672</v>
      </c>
      <c r="M140" s="582" t="s">
        <v>480</v>
      </c>
      <c r="N140" s="582" t="s">
        <v>480</v>
      </c>
      <c r="O140" s="582" t="s">
        <v>480</v>
      </c>
      <c r="P140" s="582" t="s">
        <v>480</v>
      </c>
      <c r="Q140" s="582" t="s">
        <v>480</v>
      </c>
      <c r="R140" s="582" t="s">
        <v>480</v>
      </c>
      <c r="S140" s="582" t="s">
        <v>480</v>
      </c>
      <c r="T140" s="650" t="s">
        <v>480</v>
      </c>
      <c r="U140" s="650"/>
      <c r="V140" s="650" t="s">
        <v>480</v>
      </c>
      <c r="W140" s="650"/>
    </row>
    <row r="141" spans="1:23" ht="13.5" customHeight="1">
      <c r="A141" s="648" t="s">
        <v>701</v>
      </c>
      <c r="B141" s="648"/>
      <c r="C141" s="577"/>
      <c r="D141" s="577"/>
      <c r="E141" s="651" t="s">
        <v>103</v>
      </c>
      <c r="F141" s="651"/>
      <c r="G141" s="650" t="s">
        <v>702</v>
      </c>
      <c r="H141" s="650"/>
      <c r="I141" s="582" t="s">
        <v>702</v>
      </c>
      <c r="J141" s="582" t="s">
        <v>480</v>
      </c>
      <c r="K141" s="582" t="s">
        <v>480</v>
      </c>
      <c r="L141" s="582" t="s">
        <v>480</v>
      </c>
      <c r="M141" s="582" t="s">
        <v>480</v>
      </c>
      <c r="N141" s="582" t="s">
        <v>480</v>
      </c>
      <c r="O141" s="582" t="s">
        <v>480</v>
      </c>
      <c r="P141" s="582" t="s">
        <v>480</v>
      </c>
      <c r="Q141" s="582" t="s">
        <v>702</v>
      </c>
      <c r="R141" s="582" t="s">
        <v>480</v>
      </c>
      <c r="S141" s="582" t="s">
        <v>480</v>
      </c>
      <c r="T141" s="650" t="s">
        <v>480</v>
      </c>
      <c r="U141" s="650"/>
      <c r="V141" s="650" t="s">
        <v>480</v>
      </c>
      <c r="W141" s="650"/>
    </row>
    <row r="142" spans="1:23" ht="17.25" customHeight="1">
      <c r="A142" s="648"/>
      <c r="B142" s="648"/>
      <c r="C142" s="577" t="s">
        <v>703</v>
      </c>
      <c r="D142" s="577"/>
      <c r="E142" s="651" t="s">
        <v>704</v>
      </c>
      <c r="F142" s="651"/>
      <c r="G142" s="650" t="s">
        <v>702</v>
      </c>
      <c r="H142" s="650"/>
      <c r="I142" s="582" t="s">
        <v>702</v>
      </c>
      <c r="J142" s="582" t="s">
        <v>480</v>
      </c>
      <c r="K142" s="582" t="s">
        <v>480</v>
      </c>
      <c r="L142" s="582" t="s">
        <v>480</v>
      </c>
      <c r="M142" s="582" t="s">
        <v>480</v>
      </c>
      <c r="N142" s="582" t="s">
        <v>480</v>
      </c>
      <c r="O142" s="582" t="s">
        <v>480</v>
      </c>
      <c r="P142" s="582" t="s">
        <v>480</v>
      </c>
      <c r="Q142" s="582" t="s">
        <v>702</v>
      </c>
      <c r="R142" s="582" t="s">
        <v>480</v>
      </c>
      <c r="S142" s="582" t="s">
        <v>480</v>
      </c>
      <c r="T142" s="650" t="s">
        <v>480</v>
      </c>
      <c r="U142" s="650"/>
      <c r="V142" s="650" t="s">
        <v>480</v>
      </c>
      <c r="W142" s="650"/>
    </row>
    <row r="143" spans="1:23" ht="24" customHeight="1">
      <c r="A143" s="648"/>
      <c r="B143" s="648"/>
      <c r="C143" s="577"/>
      <c r="D143" s="577" t="s">
        <v>705</v>
      </c>
      <c r="E143" s="651" t="s">
        <v>706</v>
      </c>
      <c r="F143" s="651"/>
      <c r="G143" s="650" t="s">
        <v>702</v>
      </c>
      <c r="H143" s="650"/>
      <c r="I143" s="582" t="s">
        <v>702</v>
      </c>
      <c r="J143" s="582" t="s">
        <v>480</v>
      </c>
      <c r="K143" s="582" t="s">
        <v>480</v>
      </c>
      <c r="L143" s="582" t="s">
        <v>480</v>
      </c>
      <c r="M143" s="582" t="s">
        <v>480</v>
      </c>
      <c r="N143" s="582" t="s">
        <v>480</v>
      </c>
      <c r="O143" s="582" t="s">
        <v>480</v>
      </c>
      <c r="P143" s="582" t="s">
        <v>480</v>
      </c>
      <c r="Q143" s="582" t="s">
        <v>702</v>
      </c>
      <c r="R143" s="582" t="s">
        <v>480</v>
      </c>
      <c r="S143" s="582" t="s">
        <v>480</v>
      </c>
      <c r="T143" s="650" t="s">
        <v>480</v>
      </c>
      <c r="U143" s="650"/>
      <c r="V143" s="650" t="s">
        <v>480</v>
      </c>
      <c r="W143" s="650"/>
    </row>
    <row r="144" spans="1:23" ht="13.5" customHeight="1">
      <c r="A144" s="648" t="s">
        <v>707</v>
      </c>
      <c r="B144" s="648"/>
      <c r="C144" s="577"/>
      <c r="D144" s="577"/>
      <c r="E144" s="651" t="s">
        <v>708</v>
      </c>
      <c r="F144" s="651"/>
      <c r="G144" s="650" t="s">
        <v>709</v>
      </c>
      <c r="H144" s="650"/>
      <c r="I144" s="582" t="s">
        <v>709</v>
      </c>
      <c r="J144" s="582" t="s">
        <v>709</v>
      </c>
      <c r="K144" s="582" t="s">
        <v>480</v>
      </c>
      <c r="L144" s="582" t="s">
        <v>709</v>
      </c>
      <c r="M144" s="582" t="s">
        <v>480</v>
      </c>
      <c r="N144" s="582" t="s">
        <v>480</v>
      </c>
      <c r="O144" s="582" t="s">
        <v>480</v>
      </c>
      <c r="P144" s="582" t="s">
        <v>480</v>
      </c>
      <c r="Q144" s="582" t="s">
        <v>480</v>
      </c>
      <c r="R144" s="582" t="s">
        <v>480</v>
      </c>
      <c r="S144" s="582" t="s">
        <v>480</v>
      </c>
      <c r="T144" s="650" t="s">
        <v>480</v>
      </c>
      <c r="U144" s="650"/>
      <c r="V144" s="650" t="s">
        <v>480</v>
      </c>
      <c r="W144" s="650"/>
    </row>
    <row r="145" spans="1:23" ht="13.5" customHeight="1">
      <c r="A145" s="648"/>
      <c r="B145" s="648"/>
      <c r="C145" s="577" t="s">
        <v>710</v>
      </c>
      <c r="D145" s="577"/>
      <c r="E145" s="651" t="s">
        <v>106</v>
      </c>
      <c r="F145" s="651"/>
      <c r="G145" s="650" t="s">
        <v>709</v>
      </c>
      <c r="H145" s="650"/>
      <c r="I145" s="582" t="s">
        <v>709</v>
      </c>
      <c r="J145" s="582" t="s">
        <v>709</v>
      </c>
      <c r="K145" s="582" t="s">
        <v>480</v>
      </c>
      <c r="L145" s="582" t="s">
        <v>709</v>
      </c>
      <c r="M145" s="582" t="s">
        <v>480</v>
      </c>
      <c r="N145" s="582" t="s">
        <v>480</v>
      </c>
      <c r="O145" s="582" t="s">
        <v>480</v>
      </c>
      <c r="P145" s="582" t="s">
        <v>480</v>
      </c>
      <c r="Q145" s="582" t="s">
        <v>480</v>
      </c>
      <c r="R145" s="582" t="s">
        <v>480</v>
      </c>
      <c r="S145" s="582" t="s">
        <v>480</v>
      </c>
      <c r="T145" s="650" t="s">
        <v>480</v>
      </c>
      <c r="U145" s="650"/>
      <c r="V145" s="650" t="s">
        <v>480</v>
      </c>
      <c r="W145" s="650"/>
    </row>
    <row r="146" spans="1:23" ht="13.5" customHeight="1">
      <c r="A146" s="648"/>
      <c r="B146" s="648"/>
      <c r="C146" s="577"/>
      <c r="D146" s="577" t="s">
        <v>711</v>
      </c>
      <c r="E146" s="651" t="s">
        <v>712</v>
      </c>
      <c r="F146" s="651"/>
      <c r="G146" s="650" t="s">
        <v>709</v>
      </c>
      <c r="H146" s="650"/>
      <c r="I146" s="582" t="s">
        <v>709</v>
      </c>
      <c r="J146" s="582" t="s">
        <v>709</v>
      </c>
      <c r="K146" s="582" t="s">
        <v>480</v>
      </c>
      <c r="L146" s="582" t="s">
        <v>709</v>
      </c>
      <c r="M146" s="582" t="s">
        <v>480</v>
      </c>
      <c r="N146" s="582" t="s">
        <v>480</v>
      </c>
      <c r="O146" s="582" t="s">
        <v>480</v>
      </c>
      <c r="P146" s="582" t="s">
        <v>480</v>
      </c>
      <c r="Q146" s="582" t="s">
        <v>480</v>
      </c>
      <c r="R146" s="582" t="s">
        <v>480</v>
      </c>
      <c r="S146" s="582" t="s">
        <v>480</v>
      </c>
      <c r="T146" s="650" t="s">
        <v>480</v>
      </c>
      <c r="U146" s="650"/>
      <c r="V146" s="650" t="s">
        <v>480</v>
      </c>
      <c r="W146" s="650"/>
    </row>
    <row r="147" spans="1:23" ht="13.5" customHeight="1">
      <c r="A147" s="648" t="s">
        <v>713</v>
      </c>
      <c r="B147" s="648"/>
      <c r="C147" s="577"/>
      <c r="D147" s="577"/>
      <c r="E147" s="651" t="s">
        <v>714</v>
      </c>
      <c r="F147" s="651"/>
      <c r="G147" s="650" t="s">
        <v>715</v>
      </c>
      <c r="H147" s="650"/>
      <c r="I147" s="582" t="s">
        <v>715</v>
      </c>
      <c r="J147" s="582" t="s">
        <v>716</v>
      </c>
      <c r="K147" s="582" t="s">
        <v>717</v>
      </c>
      <c r="L147" s="582" t="s">
        <v>718</v>
      </c>
      <c r="M147" s="582" t="s">
        <v>719</v>
      </c>
      <c r="N147" s="582" t="s">
        <v>720</v>
      </c>
      <c r="O147" s="582" t="s">
        <v>721</v>
      </c>
      <c r="P147" s="582" t="s">
        <v>480</v>
      </c>
      <c r="Q147" s="582" t="s">
        <v>480</v>
      </c>
      <c r="R147" s="582" t="s">
        <v>480</v>
      </c>
      <c r="S147" s="582" t="s">
        <v>480</v>
      </c>
      <c r="T147" s="650" t="s">
        <v>480</v>
      </c>
      <c r="U147" s="650"/>
      <c r="V147" s="650" t="s">
        <v>480</v>
      </c>
      <c r="W147" s="650"/>
    </row>
    <row r="148" spans="1:23" ht="13.5" customHeight="1">
      <c r="A148" s="648"/>
      <c r="B148" s="648"/>
      <c r="C148" s="577" t="s">
        <v>722</v>
      </c>
      <c r="D148" s="577"/>
      <c r="E148" s="651" t="s">
        <v>110</v>
      </c>
      <c r="F148" s="651"/>
      <c r="G148" s="650" t="s">
        <v>723</v>
      </c>
      <c r="H148" s="650"/>
      <c r="I148" s="582" t="s">
        <v>723</v>
      </c>
      <c r="J148" s="582" t="s">
        <v>724</v>
      </c>
      <c r="K148" s="582" t="s">
        <v>725</v>
      </c>
      <c r="L148" s="582" t="s">
        <v>726</v>
      </c>
      <c r="M148" s="582" t="s">
        <v>480</v>
      </c>
      <c r="N148" s="582" t="s">
        <v>727</v>
      </c>
      <c r="O148" s="582" t="s">
        <v>480</v>
      </c>
      <c r="P148" s="582" t="s">
        <v>480</v>
      </c>
      <c r="Q148" s="582" t="s">
        <v>480</v>
      </c>
      <c r="R148" s="582" t="s">
        <v>480</v>
      </c>
      <c r="S148" s="582" t="s">
        <v>480</v>
      </c>
      <c r="T148" s="650" t="s">
        <v>480</v>
      </c>
      <c r="U148" s="650"/>
      <c r="V148" s="650" t="s">
        <v>480</v>
      </c>
      <c r="W148" s="650"/>
    </row>
    <row r="149" spans="1:23" ht="13.5" customHeight="1">
      <c r="A149" s="648"/>
      <c r="B149" s="648"/>
      <c r="C149" s="577"/>
      <c r="D149" s="577" t="s">
        <v>600</v>
      </c>
      <c r="E149" s="651" t="s">
        <v>601</v>
      </c>
      <c r="F149" s="651"/>
      <c r="G149" s="650" t="s">
        <v>727</v>
      </c>
      <c r="H149" s="650"/>
      <c r="I149" s="582" t="s">
        <v>727</v>
      </c>
      <c r="J149" s="582" t="s">
        <v>480</v>
      </c>
      <c r="K149" s="582" t="s">
        <v>480</v>
      </c>
      <c r="L149" s="582" t="s">
        <v>480</v>
      </c>
      <c r="M149" s="582" t="s">
        <v>480</v>
      </c>
      <c r="N149" s="582" t="s">
        <v>727</v>
      </c>
      <c r="O149" s="582" t="s">
        <v>480</v>
      </c>
      <c r="P149" s="582" t="s">
        <v>480</v>
      </c>
      <c r="Q149" s="582" t="s">
        <v>480</v>
      </c>
      <c r="R149" s="582" t="s">
        <v>480</v>
      </c>
      <c r="S149" s="582" t="s">
        <v>480</v>
      </c>
      <c r="T149" s="650" t="s">
        <v>480</v>
      </c>
      <c r="U149" s="650"/>
      <c r="V149" s="650" t="s">
        <v>480</v>
      </c>
      <c r="W149" s="650"/>
    </row>
    <row r="150" spans="1:23" ht="13.5" customHeight="1">
      <c r="A150" s="648"/>
      <c r="B150" s="648"/>
      <c r="C150" s="577"/>
      <c r="D150" s="577" t="s">
        <v>602</v>
      </c>
      <c r="E150" s="651" t="s">
        <v>603</v>
      </c>
      <c r="F150" s="651"/>
      <c r="G150" s="650" t="s">
        <v>728</v>
      </c>
      <c r="H150" s="650"/>
      <c r="I150" s="582" t="s">
        <v>728</v>
      </c>
      <c r="J150" s="582" t="s">
        <v>728</v>
      </c>
      <c r="K150" s="582" t="s">
        <v>728</v>
      </c>
      <c r="L150" s="582" t="s">
        <v>480</v>
      </c>
      <c r="M150" s="582" t="s">
        <v>480</v>
      </c>
      <c r="N150" s="582" t="s">
        <v>480</v>
      </c>
      <c r="O150" s="582" t="s">
        <v>480</v>
      </c>
      <c r="P150" s="582" t="s">
        <v>480</v>
      </c>
      <c r="Q150" s="582" t="s">
        <v>480</v>
      </c>
      <c r="R150" s="582" t="s">
        <v>480</v>
      </c>
      <c r="S150" s="582" t="s">
        <v>480</v>
      </c>
      <c r="T150" s="650" t="s">
        <v>480</v>
      </c>
      <c r="U150" s="650"/>
      <c r="V150" s="650" t="s">
        <v>480</v>
      </c>
      <c r="W150" s="650"/>
    </row>
    <row r="151" spans="1:23" ht="13.5" customHeight="1">
      <c r="A151" s="648"/>
      <c r="B151" s="648"/>
      <c r="C151" s="577"/>
      <c r="D151" s="577" t="s">
        <v>605</v>
      </c>
      <c r="E151" s="651" t="s">
        <v>606</v>
      </c>
      <c r="F151" s="651"/>
      <c r="G151" s="650" t="s">
        <v>729</v>
      </c>
      <c r="H151" s="650"/>
      <c r="I151" s="582" t="s">
        <v>729</v>
      </c>
      <c r="J151" s="582" t="s">
        <v>729</v>
      </c>
      <c r="K151" s="582" t="s">
        <v>729</v>
      </c>
      <c r="L151" s="582" t="s">
        <v>480</v>
      </c>
      <c r="M151" s="582" t="s">
        <v>480</v>
      </c>
      <c r="N151" s="582" t="s">
        <v>480</v>
      </c>
      <c r="O151" s="582" t="s">
        <v>480</v>
      </c>
      <c r="P151" s="582" t="s">
        <v>480</v>
      </c>
      <c r="Q151" s="582" t="s">
        <v>480</v>
      </c>
      <c r="R151" s="582" t="s">
        <v>480</v>
      </c>
      <c r="S151" s="582" t="s">
        <v>480</v>
      </c>
      <c r="T151" s="650" t="s">
        <v>480</v>
      </c>
      <c r="U151" s="650"/>
      <c r="V151" s="650" t="s">
        <v>480</v>
      </c>
      <c r="W151" s="650"/>
    </row>
    <row r="152" spans="1:23" ht="13.5" customHeight="1">
      <c r="A152" s="648"/>
      <c r="B152" s="648"/>
      <c r="C152" s="577"/>
      <c r="D152" s="577" t="s">
        <v>608</v>
      </c>
      <c r="E152" s="651" t="s">
        <v>609</v>
      </c>
      <c r="F152" s="651"/>
      <c r="G152" s="650" t="s">
        <v>730</v>
      </c>
      <c r="H152" s="650"/>
      <c r="I152" s="582" t="s">
        <v>730</v>
      </c>
      <c r="J152" s="582" t="s">
        <v>730</v>
      </c>
      <c r="K152" s="582" t="s">
        <v>730</v>
      </c>
      <c r="L152" s="582" t="s">
        <v>480</v>
      </c>
      <c r="M152" s="582" t="s">
        <v>480</v>
      </c>
      <c r="N152" s="582" t="s">
        <v>480</v>
      </c>
      <c r="O152" s="582" t="s">
        <v>480</v>
      </c>
      <c r="P152" s="582" t="s">
        <v>480</v>
      </c>
      <c r="Q152" s="582" t="s">
        <v>480</v>
      </c>
      <c r="R152" s="582" t="s">
        <v>480</v>
      </c>
      <c r="S152" s="582" t="s">
        <v>480</v>
      </c>
      <c r="T152" s="650" t="s">
        <v>480</v>
      </c>
      <c r="U152" s="650"/>
      <c r="V152" s="650" t="s">
        <v>480</v>
      </c>
      <c r="W152" s="650"/>
    </row>
    <row r="153" spans="1:23" ht="13.5" customHeight="1">
      <c r="A153" s="648"/>
      <c r="B153" s="648"/>
      <c r="C153" s="577"/>
      <c r="D153" s="577" t="s">
        <v>611</v>
      </c>
      <c r="E153" s="651" t="s">
        <v>612</v>
      </c>
      <c r="F153" s="651"/>
      <c r="G153" s="650" t="s">
        <v>731</v>
      </c>
      <c r="H153" s="650"/>
      <c r="I153" s="582" t="s">
        <v>731</v>
      </c>
      <c r="J153" s="582" t="s">
        <v>731</v>
      </c>
      <c r="K153" s="582" t="s">
        <v>731</v>
      </c>
      <c r="L153" s="582" t="s">
        <v>480</v>
      </c>
      <c r="M153" s="582" t="s">
        <v>480</v>
      </c>
      <c r="N153" s="582" t="s">
        <v>480</v>
      </c>
      <c r="O153" s="582" t="s">
        <v>480</v>
      </c>
      <c r="P153" s="582" t="s">
        <v>480</v>
      </c>
      <c r="Q153" s="582" t="s">
        <v>480</v>
      </c>
      <c r="R153" s="582" t="s">
        <v>480</v>
      </c>
      <c r="S153" s="582" t="s">
        <v>480</v>
      </c>
      <c r="T153" s="650" t="s">
        <v>480</v>
      </c>
      <c r="U153" s="650"/>
      <c r="V153" s="650" t="s">
        <v>480</v>
      </c>
      <c r="W153" s="650"/>
    </row>
    <row r="154" spans="1:23" ht="13.5" customHeight="1">
      <c r="A154" s="648"/>
      <c r="B154" s="648"/>
      <c r="C154" s="577"/>
      <c r="D154" s="577" t="s">
        <v>543</v>
      </c>
      <c r="E154" s="651" t="s">
        <v>544</v>
      </c>
      <c r="F154" s="651"/>
      <c r="G154" s="650" t="s">
        <v>732</v>
      </c>
      <c r="H154" s="650"/>
      <c r="I154" s="582" t="s">
        <v>732</v>
      </c>
      <c r="J154" s="582" t="s">
        <v>732</v>
      </c>
      <c r="K154" s="582" t="s">
        <v>732</v>
      </c>
      <c r="L154" s="582" t="s">
        <v>480</v>
      </c>
      <c r="M154" s="582" t="s">
        <v>480</v>
      </c>
      <c r="N154" s="582" t="s">
        <v>480</v>
      </c>
      <c r="O154" s="582" t="s">
        <v>480</v>
      </c>
      <c r="P154" s="582" t="s">
        <v>480</v>
      </c>
      <c r="Q154" s="582" t="s">
        <v>480</v>
      </c>
      <c r="R154" s="582" t="s">
        <v>480</v>
      </c>
      <c r="S154" s="582" t="s">
        <v>480</v>
      </c>
      <c r="T154" s="650" t="s">
        <v>480</v>
      </c>
      <c r="U154" s="650"/>
      <c r="V154" s="650" t="s">
        <v>480</v>
      </c>
      <c r="W154" s="650"/>
    </row>
    <row r="155" spans="1:23" ht="13.5" customHeight="1">
      <c r="A155" s="648"/>
      <c r="B155" s="648"/>
      <c r="C155" s="577"/>
      <c r="D155" s="577" t="s">
        <v>483</v>
      </c>
      <c r="E155" s="651" t="s">
        <v>484</v>
      </c>
      <c r="F155" s="651"/>
      <c r="G155" s="650" t="s">
        <v>733</v>
      </c>
      <c r="H155" s="650"/>
      <c r="I155" s="582" t="s">
        <v>733</v>
      </c>
      <c r="J155" s="582" t="s">
        <v>733</v>
      </c>
      <c r="K155" s="582" t="s">
        <v>480</v>
      </c>
      <c r="L155" s="582" t="s">
        <v>733</v>
      </c>
      <c r="M155" s="582" t="s">
        <v>480</v>
      </c>
      <c r="N155" s="582" t="s">
        <v>480</v>
      </c>
      <c r="O155" s="582" t="s">
        <v>480</v>
      </c>
      <c r="P155" s="582" t="s">
        <v>480</v>
      </c>
      <c r="Q155" s="582" t="s">
        <v>480</v>
      </c>
      <c r="R155" s="582" t="s">
        <v>480</v>
      </c>
      <c r="S155" s="582" t="s">
        <v>480</v>
      </c>
      <c r="T155" s="650" t="s">
        <v>480</v>
      </c>
      <c r="U155" s="650"/>
      <c r="V155" s="650" t="s">
        <v>480</v>
      </c>
      <c r="W155" s="650"/>
    </row>
    <row r="156" spans="1:23" ht="17.25" customHeight="1">
      <c r="A156" s="648"/>
      <c r="B156" s="648"/>
      <c r="C156" s="577"/>
      <c r="D156" s="577" t="s">
        <v>734</v>
      </c>
      <c r="E156" s="651" t="s">
        <v>735</v>
      </c>
      <c r="F156" s="651"/>
      <c r="G156" s="650" t="s">
        <v>736</v>
      </c>
      <c r="H156" s="650"/>
      <c r="I156" s="582" t="s">
        <v>736</v>
      </c>
      <c r="J156" s="582" t="s">
        <v>736</v>
      </c>
      <c r="K156" s="582" t="s">
        <v>480</v>
      </c>
      <c r="L156" s="582" t="s">
        <v>736</v>
      </c>
      <c r="M156" s="582" t="s">
        <v>480</v>
      </c>
      <c r="N156" s="582" t="s">
        <v>480</v>
      </c>
      <c r="O156" s="582" t="s">
        <v>480</v>
      </c>
      <c r="P156" s="582" t="s">
        <v>480</v>
      </c>
      <c r="Q156" s="582" t="s">
        <v>480</v>
      </c>
      <c r="R156" s="582" t="s">
        <v>480</v>
      </c>
      <c r="S156" s="582" t="s">
        <v>480</v>
      </c>
      <c r="T156" s="650" t="s">
        <v>480</v>
      </c>
      <c r="U156" s="650"/>
      <c r="V156" s="650" t="s">
        <v>480</v>
      </c>
      <c r="W156" s="650"/>
    </row>
    <row r="157" spans="1:23" ht="13.5" customHeight="1">
      <c r="A157" s="648"/>
      <c r="B157" s="648"/>
      <c r="C157" s="577"/>
      <c r="D157" s="577" t="s">
        <v>558</v>
      </c>
      <c r="E157" s="651" t="s">
        <v>559</v>
      </c>
      <c r="F157" s="651"/>
      <c r="G157" s="650" t="s">
        <v>737</v>
      </c>
      <c r="H157" s="650"/>
      <c r="I157" s="582" t="s">
        <v>737</v>
      </c>
      <c r="J157" s="582" t="s">
        <v>737</v>
      </c>
      <c r="K157" s="582" t="s">
        <v>480</v>
      </c>
      <c r="L157" s="582" t="s">
        <v>737</v>
      </c>
      <c r="M157" s="582" t="s">
        <v>480</v>
      </c>
      <c r="N157" s="582" t="s">
        <v>480</v>
      </c>
      <c r="O157" s="582" t="s">
        <v>480</v>
      </c>
      <c r="P157" s="582" t="s">
        <v>480</v>
      </c>
      <c r="Q157" s="582" t="s">
        <v>480</v>
      </c>
      <c r="R157" s="582" t="s">
        <v>480</v>
      </c>
      <c r="S157" s="582" t="s">
        <v>480</v>
      </c>
      <c r="T157" s="650" t="s">
        <v>480</v>
      </c>
      <c r="U157" s="650"/>
      <c r="V157" s="650" t="s">
        <v>480</v>
      </c>
      <c r="W157" s="650"/>
    </row>
    <row r="158" spans="1:23" ht="13.5" customHeight="1">
      <c r="A158" s="648"/>
      <c r="B158" s="648"/>
      <c r="C158" s="577"/>
      <c r="D158" s="577" t="s">
        <v>517</v>
      </c>
      <c r="E158" s="651" t="s">
        <v>518</v>
      </c>
      <c r="F158" s="651"/>
      <c r="G158" s="650" t="s">
        <v>738</v>
      </c>
      <c r="H158" s="650"/>
      <c r="I158" s="582" t="s">
        <v>738</v>
      </c>
      <c r="J158" s="582" t="s">
        <v>738</v>
      </c>
      <c r="K158" s="582" t="s">
        <v>480</v>
      </c>
      <c r="L158" s="582" t="s">
        <v>738</v>
      </c>
      <c r="M158" s="582" t="s">
        <v>480</v>
      </c>
      <c r="N158" s="582" t="s">
        <v>480</v>
      </c>
      <c r="O158" s="582" t="s">
        <v>480</v>
      </c>
      <c r="P158" s="582" t="s">
        <v>480</v>
      </c>
      <c r="Q158" s="582" t="s">
        <v>480</v>
      </c>
      <c r="R158" s="582" t="s">
        <v>480</v>
      </c>
      <c r="S158" s="582" t="s">
        <v>480</v>
      </c>
      <c r="T158" s="650" t="s">
        <v>480</v>
      </c>
      <c r="U158" s="650"/>
      <c r="V158" s="650" t="s">
        <v>480</v>
      </c>
      <c r="W158" s="650"/>
    </row>
    <row r="159" spans="1:23" ht="13.5" customHeight="1">
      <c r="A159" s="648"/>
      <c r="B159" s="648"/>
      <c r="C159" s="577"/>
      <c r="D159" s="577" t="s">
        <v>621</v>
      </c>
      <c r="E159" s="651" t="s">
        <v>622</v>
      </c>
      <c r="F159" s="651"/>
      <c r="G159" s="650" t="s">
        <v>739</v>
      </c>
      <c r="H159" s="650"/>
      <c r="I159" s="582" t="s">
        <v>739</v>
      </c>
      <c r="J159" s="582" t="s">
        <v>739</v>
      </c>
      <c r="K159" s="582" t="s">
        <v>480</v>
      </c>
      <c r="L159" s="582" t="s">
        <v>739</v>
      </c>
      <c r="M159" s="582" t="s">
        <v>480</v>
      </c>
      <c r="N159" s="582" t="s">
        <v>480</v>
      </c>
      <c r="O159" s="582" t="s">
        <v>480</v>
      </c>
      <c r="P159" s="582" t="s">
        <v>480</v>
      </c>
      <c r="Q159" s="582" t="s">
        <v>480</v>
      </c>
      <c r="R159" s="582" t="s">
        <v>480</v>
      </c>
      <c r="S159" s="582" t="s">
        <v>480</v>
      </c>
      <c r="T159" s="650" t="s">
        <v>480</v>
      </c>
      <c r="U159" s="650"/>
      <c r="V159" s="650" t="s">
        <v>480</v>
      </c>
      <c r="W159" s="650"/>
    </row>
    <row r="160" spans="1:23" ht="13.5" customHeight="1">
      <c r="A160" s="648"/>
      <c r="B160" s="648"/>
      <c r="C160" s="577"/>
      <c r="D160" s="577" t="s">
        <v>486</v>
      </c>
      <c r="E160" s="651" t="s">
        <v>487</v>
      </c>
      <c r="F160" s="651"/>
      <c r="G160" s="650" t="s">
        <v>740</v>
      </c>
      <c r="H160" s="650"/>
      <c r="I160" s="582" t="s">
        <v>740</v>
      </c>
      <c r="J160" s="582" t="s">
        <v>740</v>
      </c>
      <c r="K160" s="582" t="s">
        <v>480</v>
      </c>
      <c r="L160" s="582" t="s">
        <v>740</v>
      </c>
      <c r="M160" s="582" t="s">
        <v>480</v>
      </c>
      <c r="N160" s="582" t="s">
        <v>480</v>
      </c>
      <c r="O160" s="582" t="s">
        <v>480</v>
      </c>
      <c r="P160" s="582" t="s">
        <v>480</v>
      </c>
      <c r="Q160" s="582" t="s">
        <v>480</v>
      </c>
      <c r="R160" s="582" t="s">
        <v>480</v>
      </c>
      <c r="S160" s="582" t="s">
        <v>480</v>
      </c>
      <c r="T160" s="650" t="s">
        <v>480</v>
      </c>
      <c r="U160" s="650"/>
      <c r="V160" s="650" t="s">
        <v>480</v>
      </c>
      <c r="W160" s="650"/>
    </row>
    <row r="161" spans="1:23" ht="13.5" customHeight="1">
      <c r="A161" s="648"/>
      <c r="B161" s="648"/>
      <c r="C161" s="577"/>
      <c r="D161" s="577" t="s">
        <v>624</v>
      </c>
      <c r="E161" s="651" t="s">
        <v>625</v>
      </c>
      <c r="F161" s="651"/>
      <c r="G161" s="650" t="s">
        <v>741</v>
      </c>
      <c r="H161" s="650"/>
      <c r="I161" s="582" t="s">
        <v>741</v>
      </c>
      <c r="J161" s="582" t="s">
        <v>741</v>
      </c>
      <c r="K161" s="582" t="s">
        <v>480</v>
      </c>
      <c r="L161" s="582" t="s">
        <v>741</v>
      </c>
      <c r="M161" s="582" t="s">
        <v>480</v>
      </c>
      <c r="N161" s="582" t="s">
        <v>480</v>
      </c>
      <c r="O161" s="582" t="s">
        <v>480</v>
      </c>
      <c r="P161" s="582" t="s">
        <v>480</v>
      </c>
      <c r="Q161" s="582" t="s">
        <v>480</v>
      </c>
      <c r="R161" s="582" t="s">
        <v>480</v>
      </c>
      <c r="S161" s="582" t="s">
        <v>480</v>
      </c>
      <c r="T161" s="650" t="s">
        <v>480</v>
      </c>
      <c r="U161" s="650"/>
      <c r="V161" s="650" t="s">
        <v>480</v>
      </c>
      <c r="W161" s="650"/>
    </row>
    <row r="162" spans="1:23" ht="24" customHeight="1">
      <c r="A162" s="648"/>
      <c r="B162" s="648"/>
      <c r="C162" s="577"/>
      <c r="D162" s="577" t="s">
        <v>628</v>
      </c>
      <c r="E162" s="651" t="s">
        <v>629</v>
      </c>
      <c r="F162" s="651"/>
      <c r="G162" s="650" t="s">
        <v>742</v>
      </c>
      <c r="H162" s="650"/>
      <c r="I162" s="582" t="s">
        <v>742</v>
      </c>
      <c r="J162" s="582" t="s">
        <v>742</v>
      </c>
      <c r="K162" s="582" t="s">
        <v>480</v>
      </c>
      <c r="L162" s="582" t="s">
        <v>742</v>
      </c>
      <c r="M162" s="582" t="s">
        <v>480</v>
      </c>
      <c r="N162" s="582" t="s">
        <v>480</v>
      </c>
      <c r="O162" s="582" t="s">
        <v>480</v>
      </c>
      <c r="P162" s="582" t="s">
        <v>480</v>
      </c>
      <c r="Q162" s="582" t="s">
        <v>480</v>
      </c>
      <c r="R162" s="582" t="s">
        <v>480</v>
      </c>
      <c r="S162" s="582" t="s">
        <v>480</v>
      </c>
      <c r="T162" s="650" t="s">
        <v>480</v>
      </c>
      <c r="U162" s="650"/>
      <c r="V162" s="650" t="s">
        <v>480</v>
      </c>
      <c r="W162" s="650"/>
    </row>
    <row r="163" spans="1:23" ht="13.5" customHeight="1">
      <c r="A163" s="648"/>
      <c r="B163" s="648"/>
      <c r="C163" s="577"/>
      <c r="D163" s="577" t="s">
        <v>588</v>
      </c>
      <c r="E163" s="651" t="s">
        <v>589</v>
      </c>
      <c r="F163" s="651"/>
      <c r="G163" s="650" t="s">
        <v>743</v>
      </c>
      <c r="H163" s="650"/>
      <c r="I163" s="582" t="s">
        <v>743</v>
      </c>
      <c r="J163" s="582" t="s">
        <v>743</v>
      </c>
      <c r="K163" s="582" t="s">
        <v>480</v>
      </c>
      <c r="L163" s="582" t="s">
        <v>743</v>
      </c>
      <c r="M163" s="582" t="s">
        <v>480</v>
      </c>
      <c r="N163" s="582" t="s">
        <v>480</v>
      </c>
      <c r="O163" s="582" t="s">
        <v>480</v>
      </c>
      <c r="P163" s="582" t="s">
        <v>480</v>
      </c>
      <c r="Q163" s="582" t="s">
        <v>480</v>
      </c>
      <c r="R163" s="582" t="s">
        <v>480</v>
      </c>
      <c r="S163" s="582" t="s">
        <v>480</v>
      </c>
      <c r="T163" s="650" t="s">
        <v>480</v>
      </c>
      <c r="U163" s="650"/>
      <c r="V163" s="650" t="s">
        <v>480</v>
      </c>
      <c r="W163" s="650"/>
    </row>
    <row r="164" spans="1:23" ht="13.5" customHeight="1">
      <c r="A164" s="648"/>
      <c r="B164" s="648"/>
      <c r="C164" s="577"/>
      <c r="D164" s="577" t="s">
        <v>494</v>
      </c>
      <c r="E164" s="651" t="s">
        <v>495</v>
      </c>
      <c r="F164" s="651"/>
      <c r="G164" s="650" t="s">
        <v>744</v>
      </c>
      <c r="H164" s="650"/>
      <c r="I164" s="582" t="s">
        <v>744</v>
      </c>
      <c r="J164" s="582" t="s">
        <v>744</v>
      </c>
      <c r="K164" s="582" t="s">
        <v>480</v>
      </c>
      <c r="L164" s="582" t="s">
        <v>744</v>
      </c>
      <c r="M164" s="582" t="s">
        <v>480</v>
      </c>
      <c r="N164" s="582" t="s">
        <v>480</v>
      </c>
      <c r="O164" s="582" t="s">
        <v>480</v>
      </c>
      <c r="P164" s="582" t="s">
        <v>480</v>
      </c>
      <c r="Q164" s="582" t="s">
        <v>480</v>
      </c>
      <c r="R164" s="582" t="s">
        <v>480</v>
      </c>
      <c r="S164" s="582" t="s">
        <v>480</v>
      </c>
      <c r="T164" s="650" t="s">
        <v>480</v>
      </c>
      <c r="U164" s="650"/>
      <c r="V164" s="650" t="s">
        <v>480</v>
      </c>
      <c r="W164" s="650"/>
    </row>
    <row r="165" spans="1:23" ht="17.25" customHeight="1">
      <c r="A165" s="648"/>
      <c r="B165" s="648"/>
      <c r="C165" s="577"/>
      <c r="D165" s="577" t="s">
        <v>637</v>
      </c>
      <c r="E165" s="651" t="s">
        <v>638</v>
      </c>
      <c r="F165" s="651"/>
      <c r="G165" s="650" t="s">
        <v>745</v>
      </c>
      <c r="H165" s="650"/>
      <c r="I165" s="582" t="s">
        <v>745</v>
      </c>
      <c r="J165" s="582" t="s">
        <v>745</v>
      </c>
      <c r="K165" s="582" t="s">
        <v>480</v>
      </c>
      <c r="L165" s="582" t="s">
        <v>745</v>
      </c>
      <c r="M165" s="582" t="s">
        <v>480</v>
      </c>
      <c r="N165" s="582" t="s">
        <v>480</v>
      </c>
      <c r="O165" s="582" t="s">
        <v>480</v>
      </c>
      <c r="P165" s="582" t="s">
        <v>480</v>
      </c>
      <c r="Q165" s="582" t="s">
        <v>480</v>
      </c>
      <c r="R165" s="582" t="s">
        <v>480</v>
      </c>
      <c r="S165" s="582" t="s">
        <v>480</v>
      </c>
      <c r="T165" s="650" t="s">
        <v>480</v>
      </c>
      <c r="U165" s="650"/>
      <c r="V165" s="650" t="s">
        <v>480</v>
      </c>
      <c r="W165" s="650"/>
    </row>
    <row r="166" spans="1:23" ht="17.25" customHeight="1">
      <c r="A166" s="648"/>
      <c r="B166" s="648"/>
      <c r="C166" s="577"/>
      <c r="D166" s="577" t="s">
        <v>590</v>
      </c>
      <c r="E166" s="651" t="s">
        <v>591</v>
      </c>
      <c r="F166" s="651"/>
      <c r="G166" s="650" t="s">
        <v>592</v>
      </c>
      <c r="H166" s="650"/>
      <c r="I166" s="582" t="s">
        <v>592</v>
      </c>
      <c r="J166" s="582" t="s">
        <v>592</v>
      </c>
      <c r="K166" s="582" t="s">
        <v>480</v>
      </c>
      <c r="L166" s="582" t="s">
        <v>592</v>
      </c>
      <c r="M166" s="582" t="s">
        <v>480</v>
      </c>
      <c r="N166" s="582" t="s">
        <v>480</v>
      </c>
      <c r="O166" s="582" t="s">
        <v>480</v>
      </c>
      <c r="P166" s="582" t="s">
        <v>480</v>
      </c>
      <c r="Q166" s="582" t="s">
        <v>480</v>
      </c>
      <c r="R166" s="582" t="s">
        <v>480</v>
      </c>
      <c r="S166" s="582" t="s">
        <v>480</v>
      </c>
      <c r="T166" s="650" t="s">
        <v>480</v>
      </c>
      <c r="U166" s="650"/>
      <c r="V166" s="650" t="s">
        <v>480</v>
      </c>
      <c r="W166" s="650"/>
    </row>
    <row r="167" spans="1:23" ht="13.5" customHeight="1">
      <c r="A167" s="648"/>
      <c r="B167" s="648"/>
      <c r="C167" s="577" t="s">
        <v>746</v>
      </c>
      <c r="D167" s="577"/>
      <c r="E167" s="651" t="s">
        <v>253</v>
      </c>
      <c r="F167" s="651"/>
      <c r="G167" s="650" t="s">
        <v>747</v>
      </c>
      <c r="H167" s="650"/>
      <c r="I167" s="582" t="s">
        <v>747</v>
      </c>
      <c r="J167" s="582" t="s">
        <v>748</v>
      </c>
      <c r="K167" s="582" t="s">
        <v>749</v>
      </c>
      <c r="L167" s="582" t="s">
        <v>750</v>
      </c>
      <c r="M167" s="582" t="s">
        <v>480</v>
      </c>
      <c r="N167" s="582" t="s">
        <v>751</v>
      </c>
      <c r="O167" s="582" t="s">
        <v>480</v>
      </c>
      <c r="P167" s="582" t="s">
        <v>480</v>
      </c>
      <c r="Q167" s="582" t="s">
        <v>480</v>
      </c>
      <c r="R167" s="582" t="s">
        <v>480</v>
      </c>
      <c r="S167" s="582" t="s">
        <v>480</v>
      </c>
      <c r="T167" s="650" t="s">
        <v>480</v>
      </c>
      <c r="U167" s="650"/>
      <c r="V167" s="650" t="s">
        <v>480</v>
      </c>
      <c r="W167" s="650"/>
    </row>
    <row r="168" spans="1:23" ht="13.5" customHeight="1">
      <c r="A168" s="648"/>
      <c r="B168" s="648"/>
      <c r="C168" s="577"/>
      <c r="D168" s="577" t="s">
        <v>600</v>
      </c>
      <c r="E168" s="651" t="s">
        <v>601</v>
      </c>
      <c r="F168" s="651"/>
      <c r="G168" s="650" t="s">
        <v>751</v>
      </c>
      <c r="H168" s="650"/>
      <c r="I168" s="582" t="s">
        <v>751</v>
      </c>
      <c r="J168" s="582" t="s">
        <v>480</v>
      </c>
      <c r="K168" s="582" t="s">
        <v>480</v>
      </c>
      <c r="L168" s="582" t="s">
        <v>480</v>
      </c>
      <c r="M168" s="582" t="s">
        <v>480</v>
      </c>
      <c r="N168" s="582" t="s">
        <v>751</v>
      </c>
      <c r="O168" s="582" t="s">
        <v>480</v>
      </c>
      <c r="P168" s="582" t="s">
        <v>480</v>
      </c>
      <c r="Q168" s="582" t="s">
        <v>480</v>
      </c>
      <c r="R168" s="582" t="s">
        <v>480</v>
      </c>
      <c r="S168" s="582" t="s">
        <v>480</v>
      </c>
      <c r="T168" s="650" t="s">
        <v>480</v>
      </c>
      <c r="U168" s="650"/>
      <c r="V168" s="650" t="s">
        <v>480</v>
      </c>
      <c r="W168" s="650"/>
    </row>
    <row r="169" spans="1:23" ht="13.5" customHeight="1">
      <c r="A169" s="648"/>
      <c r="B169" s="648"/>
      <c r="C169" s="577"/>
      <c r="D169" s="577" t="s">
        <v>602</v>
      </c>
      <c r="E169" s="651" t="s">
        <v>603</v>
      </c>
      <c r="F169" s="651"/>
      <c r="G169" s="650" t="s">
        <v>752</v>
      </c>
      <c r="H169" s="650"/>
      <c r="I169" s="582" t="s">
        <v>752</v>
      </c>
      <c r="J169" s="582" t="s">
        <v>752</v>
      </c>
      <c r="K169" s="582" t="s">
        <v>752</v>
      </c>
      <c r="L169" s="582" t="s">
        <v>480</v>
      </c>
      <c r="M169" s="582" t="s">
        <v>480</v>
      </c>
      <c r="N169" s="582" t="s">
        <v>480</v>
      </c>
      <c r="O169" s="582" t="s">
        <v>480</v>
      </c>
      <c r="P169" s="582" t="s">
        <v>480</v>
      </c>
      <c r="Q169" s="582" t="s">
        <v>480</v>
      </c>
      <c r="R169" s="582" t="s">
        <v>480</v>
      </c>
      <c r="S169" s="582" t="s">
        <v>480</v>
      </c>
      <c r="T169" s="650" t="s">
        <v>480</v>
      </c>
      <c r="U169" s="650"/>
      <c r="V169" s="650" t="s">
        <v>480</v>
      </c>
      <c r="W169" s="650"/>
    </row>
    <row r="170" spans="1:23" ht="13.5" customHeight="1">
      <c r="A170" s="648"/>
      <c r="B170" s="648"/>
      <c r="C170" s="577"/>
      <c r="D170" s="577" t="s">
        <v>605</v>
      </c>
      <c r="E170" s="651" t="s">
        <v>606</v>
      </c>
      <c r="F170" s="651"/>
      <c r="G170" s="650" t="s">
        <v>753</v>
      </c>
      <c r="H170" s="650"/>
      <c r="I170" s="582" t="s">
        <v>753</v>
      </c>
      <c r="J170" s="582" t="s">
        <v>753</v>
      </c>
      <c r="K170" s="582" t="s">
        <v>753</v>
      </c>
      <c r="L170" s="582" t="s">
        <v>480</v>
      </c>
      <c r="M170" s="582" t="s">
        <v>480</v>
      </c>
      <c r="N170" s="582" t="s">
        <v>480</v>
      </c>
      <c r="O170" s="582" t="s">
        <v>480</v>
      </c>
      <c r="P170" s="582" t="s">
        <v>480</v>
      </c>
      <c r="Q170" s="582" t="s">
        <v>480</v>
      </c>
      <c r="R170" s="582" t="s">
        <v>480</v>
      </c>
      <c r="S170" s="582" t="s">
        <v>480</v>
      </c>
      <c r="T170" s="650" t="s">
        <v>480</v>
      </c>
      <c r="U170" s="650"/>
      <c r="V170" s="650" t="s">
        <v>480</v>
      </c>
      <c r="W170" s="650"/>
    </row>
    <row r="171" spans="1:23" ht="13.5" customHeight="1">
      <c r="A171" s="648"/>
      <c r="B171" s="648"/>
      <c r="C171" s="577"/>
      <c r="D171" s="577" t="s">
        <v>608</v>
      </c>
      <c r="E171" s="651" t="s">
        <v>609</v>
      </c>
      <c r="F171" s="651"/>
      <c r="G171" s="650" t="s">
        <v>754</v>
      </c>
      <c r="H171" s="650"/>
      <c r="I171" s="582" t="s">
        <v>754</v>
      </c>
      <c r="J171" s="582" t="s">
        <v>754</v>
      </c>
      <c r="K171" s="582" t="s">
        <v>754</v>
      </c>
      <c r="L171" s="582" t="s">
        <v>480</v>
      </c>
      <c r="M171" s="582" t="s">
        <v>480</v>
      </c>
      <c r="N171" s="582" t="s">
        <v>480</v>
      </c>
      <c r="O171" s="582" t="s">
        <v>480</v>
      </c>
      <c r="P171" s="582" t="s">
        <v>480</v>
      </c>
      <c r="Q171" s="582" t="s">
        <v>480</v>
      </c>
      <c r="R171" s="582" t="s">
        <v>480</v>
      </c>
      <c r="S171" s="582" t="s">
        <v>480</v>
      </c>
      <c r="T171" s="650" t="s">
        <v>480</v>
      </c>
      <c r="U171" s="650"/>
      <c r="V171" s="650" t="s">
        <v>480</v>
      </c>
      <c r="W171" s="650"/>
    </row>
    <row r="172" spans="1:23" ht="13.5" customHeight="1">
      <c r="A172" s="648"/>
      <c r="B172" s="648"/>
      <c r="C172" s="577"/>
      <c r="D172" s="577" t="s">
        <v>611</v>
      </c>
      <c r="E172" s="651" t="s">
        <v>612</v>
      </c>
      <c r="F172" s="651"/>
      <c r="G172" s="650" t="s">
        <v>755</v>
      </c>
      <c r="H172" s="650"/>
      <c r="I172" s="582" t="s">
        <v>755</v>
      </c>
      <c r="J172" s="582" t="s">
        <v>755</v>
      </c>
      <c r="K172" s="582" t="s">
        <v>755</v>
      </c>
      <c r="L172" s="582" t="s">
        <v>480</v>
      </c>
      <c r="M172" s="582" t="s">
        <v>480</v>
      </c>
      <c r="N172" s="582" t="s">
        <v>480</v>
      </c>
      <c r="O172" s="582" t="s">
        <v>480</v>
      </c>
      <c r="P172" s="582" t="s">
        <v>480</v>
      </c>
      <c r="Q172" s="582" t="s">
        <v>480</v>
      </c>
      <c r="R172" s="582" t="s">
        <v>480</v>
      </c>
      <c r="S172" s="582" t="s">
        <v>480</v>
      </c>
      <c r="T172" s="650" t="s">
        <v>480</v>
      </c>
      <c r="U172" s="650"/>
      <c r="V172" s="650" t="s">
        <v>480</v>
      </c>
      <c r="W172" s="650"/>
    </row>
    <row r="173" spans="1:23" ht="13.5" customHeight="1">
      <c r="A173" s="648"/>
      <c r="B173" s="648"/>
      <c r="C173" s="577"/>
      <c r="D173" s="577" t="s">
        <v>486</v>
      </c>
      <c r="E173" s="651" t="s">
        <v>487</v>
      </c>
      <c r="F173" s="651"/>
      <c r="G173" s="650" t="s">
        <v>756</v>
      </c>
      <c r="H173" s="650"/>
      <c r="I173" s="582" t="s">
        <v>756</v>
      </c>
      <c r="J173" s="582" t="s">
        <v>756</v>
      </c>
      <c r="K173" s="582" t="s">
        <v>480</v>
      </c>
      <c r="L173" s="582" t="s">
        <v>756</v>
      </c>
      <c r="M173" s="582" t="s">
        <v>480</v>
      </c>
      <c r="N173" s="582" t="s">
        <v>480</v>
      </c>
      <c r="O173" s="582" t="s">
        <v>480</v>
      </c>
      <c r="P173" s="582" t="s">
        <v>480</v>
      </c>
      <c r="Q173" s="582" t="s">
        <v>480</v>
      </c>
      <c r="R173" s="582" t="s">
        <v>480</v>
      </c>
      <c r="S173" s="582" t="s">
        <v>480</v>
      </c>
      <c r="T173" s="650" t="s">
        <v>480</v>
      </c>
      <c r="U173" s="650"/>
      <c r="V173" s="650" t="s">
        <v>480</v>
      </c>
      <c r="W173" s="650"/>
    </row>
    <row r="174" spans="1:23" ht="17.25" customHeight="1">
      <c r="A174" s="648"/>
      <c r="B174" s="648"/>
      <c r="C174" s="577"/>
      <c r="D174" s="577" t="s">
        <v>637</v>
      </c>
      <c r="E174" s="651" t="s">
        <v>638</v>
      </c>
      <c r="F174" s="651"/>
      <c r="G174" s="650" t="s">
        <v>757</v>
      </c>
      <c r="H174" s="650"/>
      <c r="I174" s="582" t="s">
        <v>757</v>
      </c>
      <c r="J174" s="582" t="s">
        <v>757</v>
      </c>
      <c r="K174" s="582" t="s">
        <v>480</v>
      </c>
      <c r="L174" s="582" t="s">
        <v>757</v>
      </c>
      <c r="M174" s="582" t="s">
        <v>480</v>
      </c>
      <c r="N174" s="582" t="s">
        <v>480</v>
      </c>
      <c r="O174" s="582" t="s">
        <v>480</v>
      </c>
      <c r="P174" s="582" t="s">
        <v>480</v>
      </c>
      <c r="Q174" s="582" t="s">
        <v>480</v>
      </c>
      <c r="R174" s="582" t="s">
        <v>480</v>
      </c>
      <c r="S174" s="582" t="s">
        <v>480</v>
      </c>
      <c r="T174" s="650" t="s">
        <v>480</v>
      </c>
      <c r="U174" s="650"/>
      <c r="V174" s="650" t="s">
        <v>480</v>
      </c>
      <c r="W174" s="650"/>
    </row>
    <row r="175" spans="1:23" ht="13.5" customHeight="1">
      <c r="A175" s="648"/>
      <c r="B175" s="648"/>
      <c r="C175" s="577" t="s">
        <v>758</v>
      </c>
      <c r="D175" s="577"/>
      <c r="E175" s="651" t="s">
        <v>128</v>
      </c>
      <c r="F175" s="651"/>
      <c r="G175" s="650" t="s">
        <v>759</v>
      </c>
      <c r="H175" s="650"/>
      <c r="I175" s="582" t="s">
        <v>759</v>
      </c>
      <c r="J175" s="582" t="s">
        <v>760</v>
      </c>
      <c r="K175" s="582" t="s">
        <v>761</v>
      </c>
      <c r="L175" s="582" t="s">
        <v>616</v>
      </c>
      <c r="M175" s="582" t="s">
        <v>719</v>
      </c>
      <c r="N175" s="582" t="s">
        <v>480</v>
      </c>
      <c r="O175" s="582" t="s">
        <v>480</v>
      </c>
      <c r="P175" s="582" t="s">
        <v>480</v>
      </c>
      <c r="Q175" s="582" t="s">
        <v>480</v>
      </c>
      <c r="R175" s="582" t="s">
        <v>480</v>
      </c>
      <c r="S175" s="582" t="s">
        <v>480</v>
      </c>
      <c r="T175" s="650" t="s">
        <v>480</v>
      </c>
      <c r="U175" s="650"/>
      <c r="V175" s="650" t="s">
        <v>480</v>
      </c>
      <c r="W175" s="650"/>
    </row>
    <row r="176" spans="1:23" ht="17.25" customHeight="1">
      <c r="A176" s="648"/>
      <c r="B176" s="648"/>
      <c r="C176" s="577"/>
      <c r="D176" s="577" t="s">
        <v>762</v>
      </c>
      <c r="E176" s="651" t="s">
        <v>763</v>
      </c>
      <c r="F176" s="651"/>
      <c r="G176" s="650" t="s">
        <v>719</v>
      </c>
      <c r="H176" s="650"/>
      <c r="I176" s="582" t="s">
        <v>719</v>
      </c>
      <c r="J176" s="582" t="s">
        <v>480</v>
      </c>
      <c r="K176" s="582" t="s">
        <v>480</v>
      </c>
      <c r="L176" s="582" t="s">
        <v>480</v>
      </c>
      <c r="M176" s="582" t="s">
        <v>719</v>
      </c>
      <c r="N176" s="582" t="s">
        <v>480</v>
      </c>
      <c r="O176" s="582" t="s">
        <v>480</v>
      </c>
      <c r="P176" s="582" t="s">
        <v>480</v>
      </c>
      <c r="Q176" s="582" t="s">
        <v>480</v>
      </c>
      <c r="R176" s="582" t="s">
        <v>480</v>
      </c>
      <c r="S176" s="582" t="s">
        <v>480</v>
      </c>
      <c r="T176" s="650" t="s">
        <v>480</v>
      </c>
      <c r="U176" s="650"/>
      <c r="V176" s="650" t="s">
        <v>480</v>
      </c>
      <c r="W176" s="650"/>
    </row>
    <row r="177" spans="1:23" ht="13.5" customHeight="1">
      <c r="A177" s="648"/>
      <c r="B177" s="648"/>
      <c r="C177" s="577"/>
      <c r="D177" s="577" t="s">
        <v>543</v>
      </c>
      <c r="E177" s="651" t="s">
        <v>544</v>
      </c>
      <c r="F177" s="651"/>
      <c r="G177" s="650" t="s">
        <v>761</v>
      </c>
      <c r="H177" s="650"/>
      <c r="I177" s="582" t="s">
        <v>761</v>
      </c>
      <c r="J177" s="582" t="s">
        <v>761</v>
      </c>
      <c r="K177" s="582" t="s">
        <v>761</v>
      </c>
      <c r="L177" s="582" t="s">
        <v>480</v>
      </c>
      <c r="M177" s="582" t="s">
        <v>480</v>
      </c>
      <c r="N177" s="582" t="s">
        <v>480</v>
      </c>
      <c r="O177" s="582" t="s">
        <v>480</v>
      </c>
      <c r="P177" s="582" t="s">
        <v>480</v>
      </c>
      <c r="Q177" s="582" t="s">
        <v>480</v>
      </c>
      <c r="R177" s="582" t="s">
        <v>480</v>
      </c>
      <c r="S177" s="582" t="s">
        <v>480</v>
      </c>
      <c r="T177" s="650" t="s">
        <v>480</v>
      </c>
      <c r="U177" s="650"/>
      <c r="V177" s="650" t="s">
        <v>480</v>
      </c>
      <c r="W177" s="650"/>
    </row>
    <row r="178" spans="1:23" ht="13.5" customHeight="1">
      <c r="A178" s="648"/>
      <c r="B178" s="648"/>
      <c r="C178" s="577"/>
      <c r="D178" s="577" t="s">
        <v>517</v>
      </c>
      <c r="E178" s="651" t="s">
        <v>518</v>
      </c>
      <c r="F178" s="651"/>
      <c r="G178" s="650" t="s">
        <v>616</v>
      </c>
      <c r="H178" s="650"/>
      <c r="I178" s="582" t="s">
        <v>616</v>
      </c>
      <c r="J178" s="582" t="s">
        <v>616</v>
      </c>
      <c r="K178" s="582" t="s">
        <v>480</v>
      </c>
      <c r="L178" s="582" t="s">
        <v>616</v>
      </c>
      <c r="M178" s="582" t="s">
        <v>480</v>
      </c>
      <c r="N178" s="582" t="s">
        <v>480</v>
      </c>
      <c r="O178" s="582" t="s">
        <v>480</v>
      </c>
      <c r="P178" s="582" t="s">
        <v>480</v>
      </c>
      <c r="Q178" s="582" t="s">
        <v>480</v>
      </c>
      <c r="R178" s="582" t="s">
        <v>480</v>
      </c>
      <c r="S178" s="582" t="s">
        <v>480</v>
      </c>
      <c r="T178" s="650" t="s">
        <v>480</v>
      </c>
      <c r="U178" s="650"/>
      <c r="V178" s="650" t="s">
        <v>480</v>
      </c>
      <c r="W178" s="650"/>
    </row>
    <row r="179" spans="1:23" ht="13.5" customHeight="1">
      <c r="A179" s="648"/>
      <c r="B179" s="648"/>
      <c r="C179" s="577" t="s">
        <v>764</v>
      </c>
      <c r="D179" s="577"/>
      <c r="E179" s="651" t="s">
        <v>765</v>
      </c>
      <c r="F179" s="651"/>
      <c r="G179" s="650" t="s">
        <v>766</v>
      </c>
      <c r="H179" s="650"/>
      <c r="I179" s="582" t="s">
        <v>766</v>
      </c>
      <c r="J179" s="582" t="s">
        <v>767</v>
      </c>
      <c r="K179" s="582" t="s">
        <v>768</v>
      </c>
      <c r="L179" s="582" t="s">
        <v>769</v>
      </c>
      <c r="M179" s="582" t="s">
        <v>480</v>
      </c>
      <c r="N179" s="582" t="s">
        <v>770</v>
      </c>
      <c r="O179" s="582" t="s">
        <v>480</v>
      </c>
      <c r="P179" s="582" t="s">
        <v>480</v>
      </c>
      <c r="Q179" s="582" t="s">
        <v>480</v>
      </c>
      <c r="R179" s="582" t="s">
        <v>480</v>
      </c>
      <c r="S179" s="582" t="s">
        <v>480</v>
      </c>
      <c r="T179" s="650" t="s">
        <v>480</v>
      </c>
      <c r="U179" s="650"/>
      <c r="V179" s="650" t="s">
        <v>480</v>
      </c>
      <c r="W179" s="650"/>
    </row>
    <row r="180" spans="1:23" ht="13.5" customHeight="1">
      <c r="A180" s="648"/>
      <c r="B180" s="648"/>
      <c r="C180" s="577"/>
      <c r="D180" s="577" t="s">
        <v>600</v>
      </c>
      <c r="E180" s="651" t="s">
        <v>601</v>
      </c>
      <c r="F180" s="651"/>
      <c r="G180" s="650" t="s">
        <v>770</v>
      </c>
      <c r="H180" s="650"/>
      <c r="I180" s="582" t="s">
        <v>770</v>
      </c>
      <c r="J180" s="582" t="s">
        <v>480</v>
      </c>
      <c r="K180" s="582" t="s">
        <v>480</v>
      </c>
      <c r="L180" s="582" t="s">
        <v>480</v>
      </c>
      <c r="M180" s="582" t="s">
        <v>480</v>
      </c>
      <c r="N180" s="582" t="s">
        <v>770</v>
      </c>
      <c r="O180" s="582" t="s">
        <v>480</v>
      </c>
      <c r="P180" s="582" t="s">
        <v>480</v>
      </c>
      <c r="Q180" s="582" t="s">
        <v>480</v>
      </c>
      <c r="R180" s="582" t="s">
        <v>480</v>
      </c>
      <c r="S180" s="582" t="s">
        <v>480</v>
      </c>
      <c r="T180" s="650" t="s">
        <v>480</v>
      </c>
      <c r="U180" s="650"/>
      <c r="V180" s="650" t="s">
        <v>480</v>
      </c>
      <c r="W180" s="650"/>
    </row>
    <row r="181" spans="1:23" ht="13.5" customHeight="1">
      <c r="A181" s="648"/>
      <c r="B181" s="648"/>
      <c r="C181" s="577"/>
      <c r="D181" s="577" t="s">
        <v>602</v>
      </c>
      <c r="E181" s="651" t="s">
        <v>603</v>
      </c>
      <c r="F181" s="651"/>
      <c r="G181" s="650" t="s">
        <v>771</v>
      </c>
      <c r="H181" s="650"/>
      <c r="I181" s="582" t="s">
        <v>771</v>
      </c>
      <c r="J181" s="582" t="s">
        <v>771</v>
      </c>
      <c r="K181" s="582" t="s">
        <v>771</v>
      </c>
      <c r="L181" s="582" t="s">
        <v>480</v>
      </c>
      <c r="M181" s="582" t="s">
        <v>480</v>
      </c>
      <c r="N181" s="582" t="s">
        <v>480</v>
      </c>
      <c r="O181" s="582" t="s">
        <v>480</v>
      </c>
      <c r="P181" s="582" t="s">
        <v>480</v>
      </c>
      <c r="Q181" s="582" t="s">
        <v>480</v>
      </c>
      <c r="R181" s="582" t="s">
        <v>480</v>
      </c>
      <c r="S181" s="582" t="s">
        <v>480</v>
      </c>
      <c r="T181" s="650" t="s">
        <v>480</v>
      </c>
      <c r="U181" s="650"/>
      <c r="V181" s="650" t="s">
        <v>480</v>
      </c>
      <c r="W181" s="650"/>
    </row>
    <row r="182" spans="1:23" ht="13.5" customHeight="1">
      <c r="A182" s="648"/>
      <c r="B182" s="648"/>
      <c r="C182" s="577"/>
      <c r="D182" s="577" t="s">
        <v>605</v>
      </c>
      <c r="E182" s="651" t="s">
        <v>606</v>
      </c>
      <c r="F182" s="651"/>
      <c r="G182" s="650" t="s">
        <v>772</v>
      </c>
      <c r="H182" s="650"/>
      <c r="I182" s="582" t="s">
        <v>772</v>
      </c>
      <c r="J182" s="582" t="s">
        <v>772</v>
      </c>
      <c r="K182" s="582" t="s">
        <v>772</v>
      </c>
      <c r="L182" s="582" t="s">
        <v>480</v>
      </c>
      <c r="M182" s="582" t="s">
        <v>480</v>
      </c>
      <c r="N182" s="582" t="s">
        <v>480</v>
      </c>
      <c r="O182" s="582" t="s">
        <v>480</v>
      </c>
      <c r="P182" s="582" t="s">
        <v>480</v>
      </c>
      <c r="Q182" s="582" t="s">
        <v>480</v>
      </c>
      <c r="R182" s="582" t="s">
        <v>480</v>
      </c>
      <c r="S182" s="582" t="s">
        <v>480</v>
      </c>
      <c r="T182" s="650" t="s">
        <v>480</v>
      </c>
      <c r="U182" s="650"/>
      <c r="V182" s="650" t="s">
        <v>480</v>
      </c>
      <c r="W182" s="650"/>
    </row>
    <row r="183" spans="1:23" ht="13.5" customHeight="1">
      <c r="A183" s="648"/>
      <c r="B183" s="648"/>
      <c r="C183" s="577"/>
      <c r="D183" s="577" t="s">
        <v>608</v>
      </c>
      <c r="E183" s="651" t="s">
        <v>609</v>
      </c>
      <c r="F183" s="651"/>
      <c r="G183" s="650" t="s">
        <v>773</v>
      </c>
      <c r="H183" s="650"/>
      <c r="I183" s="582" t="s">
        <v>773</v>
      </c>
      <c r="J183" s="582" t="s">
        <v>773</v>
      </c>
      <c r="K183" s="582" t="s">
        <v>773</v>
      </c>
      <c r="L183" s="582" t="s">
        <v>480</v>
      </c>
      <c r="M183" s="582" t="s">
        <v>480</v>
      </c>
      <c r="N183" s="582" t="s">
        <v>480</v>
      </c>
      <c r="O183" s="582" t="s">
        <v>480</v>
      </c>
      <c r="P183" s="582" t="s">
        <v>480</v>
      </c>
      <c r="Q183" s="582" t="s">
        <v>480</v>
      </c>
      <c r="R183" s="582" t="s">
        <v>480</v>
      </c>
      <c r="S183" s="582" t="s">
        <v>480</v>
      </c>
      <c r="T183" s="650" t="s">
        <v>480</v>
      </c>
      <c r="U183" s="650"/>
      <c r="V183" s="650" t="s">
        <v>480</v>
      </c>
      <c r="W183" s="650"/>
    </row>
    <row r="184" spans="1:23" ht="13.5" customHeight="1">
      <c r="A184" s="648"/>
      <c r="B184" s="648"/>
      <c r="C184" s="577"/>
      <c r="D184" s="577" t="s">
        <v>611</v>
      </c>
      <c r="E184" s="651" t="s">
        <v>612</v>
      </c>
      <c r="F184" s="651"/>
      <c r="G184" s="650" t="s">
        <v>774</v>
      </c>
      <c r="H184" s="650"/>
      <c r="I184" s="582" t="s">
        <v>774</v>
      </c>
      <c r="J184" s="582" t="s">
        <v>774</v>
      </c>
      <c r="K184" s="582" t="s">
        <v>774</v>
      </c>
      <c r="L184" s="582" t="s">
        <v>480</v>
      </c>
      <c r="M184" s="582" t="s">
        <v>480</v>
      </c>
      <c r="N184" s="582" t="s">
        <v>480</v>
      </c>
      <c r="O184" s="582" t="s">
        <v>480</v>
      </c>
      <c r="P184" s="582" t="s">
        <v>480</v>
      </c>
      <c r="Q184" s="582" t="s">
        <v>480</v>
      </c>
      <c r="R184" s="582" t="s">
        <v>480</v>
      </c>
      <c r="S184" s="582" t="s">
        <v>480</v>
      </c>
      <c r="T184" s="650" t="s">
        <v>480</v>
      </c>
      <c r="U184" s="650"/>
      <c r="V184" s="650" t="s">
        <v>480</v>
      </c>
      <c r="W184" s="650"/>
    </row>
    <row r="185" spans="1:23" ht="13.5" customHeight="1">
      <c r="A185" s="648"/>
      <c r="B185" s="648"/>
      <c r="C185" s="577"/>
      <c r="D185" s="577" t="s">
        <v>483</v>
      </c>
      <c r="E185" s="651" t="s">
        <v>484</v>
      </c>
      <c r="F185" s="651"/>
      <c r="G185" s="650" t="s">
        <v>775</v>
      </c>
      <c r="H185" s="650"/>
      <c r="I185" s="582" t="s">
        <v>775</v>
      </c>
      <c r="J185" s="582" t="s">
        <v>775</v>
      </c>
      <c r="K185" s="582" t="s">
        <v>480</v>
      </c>
      <c r="L185" s="582" t="s">
        <v>775</v>
      </c>
      <c r="M185" s="582" t="s">
        <v>480</v>
      </c>
      <c r="N185" s="582" t="s">
        <v>480</v>
      </c>
      <c r="O185" s="582" t="s">
        <v>480</v>
      </c>
      <c r="P185" s="582" t="s">
        <v>480</v>
      </c>
      <c r="Q185" s="582" t="s">
        <v>480</v>
      </c>
      <c r="R185" s="582" t="s">
        <v>480</v>
      </c>
      <c r="S185" s="582" t="s">
        <v>480</v>
      </c>
      <c r="T185" s="650" t="s">
        <v>480</v>
      </c>
      <c r="U185" s="650"/>
      <c r="V185" s="650" t="s">
        <v>480</v>
      </c>
      <c r="W185" s="650"/>
    </row>
    <row r="186" spans="1:23" ht="17.25" customHeight="1">
      <c r="A186" s="648"/>
      <c r="B186" s="648"/>
      <c r="C186" s="577"/>
      <c r="D186" s="577" t="s">
        <v>734</v>
      </c>
      <c r="E186" s="651" t="s">
        <v>735</v>
      </c>
      <c r="F186" s="651"/>
      <c r="G186" s="650" t="s">
        <v>776</v>
      </c>
      <c r="H186" s="650"/>
      <c r="I186" s="582" t="s">
        <v>776</v>
      </c>
      <c r="J186" s="582" t="s">
        <v>776</v>
      </c>
      <c r="K186" s="582" t="s">
        <v>480</v>
      </c>
      <c r="L186" s="582" t="s">
        <v>776</v>
      </c>
      <c r="M186" s="582" t="s">
        <v>480</v>
      </c>
      <c r="N186" s="582" t="s">
        <v>480</v>
      </c>
      <c r="O186" s="582" t="s">
        <v>480</v>
      </c>
      <c r="P186" s="582" t="s">
        <v>480</v>
      </c>
      <c r="Q186" s="582" t="s">
        <v>480</v>
      </c>
      <c r="R186" s="582" t="s">
        <v>480</v>
      </c>
      <c r="S186" s="582" t="s">
        <v>480</v>
      </c>
      <c r="T186" s="650" t="s">
        <v>480</v>
      </c>
      <c r="U186" s="650"/>
      <c r="V186" s="650" t="s">
        <v>480</v>
      </c>
      <c r="W186" s="650"/>
    </row>
    <row r="187" spans="1:23" ht="13.5" customHeight="1">
      <c r="A187" s="648"/>
      <c r="B187" s="648"/>
      <c r="C187" s="577"/>
      <c r="D187" s="577" t="s">
        <v>558</v>
      </c>
      <c r="E187" s="651" t="s">
        <v>559</v>
      </c>
      <c r="F187" s="651"/>
      <c r="G187" s="650" t="s">
        <v>777</v>
      </c>
      <c r="H187" s="650"/>
      <c r="I187" s="582" t="s">
        <v>777</v>
      </c>
      <c r="J187" s="582" t="s">
        <v>777</v>
      </c>
      <c r="K187" s="582" t="s">
        <v>480</v>
      </c>
      <c r="L187" s="582" t="s">
        <v>777</v>
      </c>
      <c r="M187" s="582" t="s">
        <v>480</v>
      </c>
      <c r="N187" s="582" t="s">
        <v>480</v>
      </c>
      <c r="O187" s="582" t="s">
        <v>480</v>
      </c>
      <c r="P187" s="582" t="s">
        <v>480</v>
      </c>
      <c r="Q187" s="582" t="s">
        <v>480</v>
      </c>
      <c r="R187" s="582" t="s">
        <v>480</v>
      </c>
      <c r="S187" s="582" t="s">
        <v>480</v>
      </c>
      <c r="T187" s="650" t="s">
        <v>480</v>
      </c>
      <c r="U187" s="650"/>
      <c r="V187" s="650" t="s">
        <v>480</v>
      </c>
      <c r="W187" s="650"/>
    </row>
    <row r="188" spans="1:23" ht="13.5" customHeight="1">
      <c r="A188" s="648"/>
      <c r="B188" s="648"/>
      <c r="C188" s="577"/>
      <c r="D188" s="577" t="s">
        <v>517</v>
      </c>
      <c r="E188" s="651" t="s">
        <v>518</v>
      </c>
      <c r="F188" s="651"/>
      <c r="G188" s="650" t="s">
        <v>778</v>
      </c>
      <c r="H188" s="650"/>
      <c r="I188" s="582" t="s">
        <v>778</v>
      </c>
      <c r="J188" s="582" t="s">
        <v>778</v>
      </c>
      <c r="K188" s="582" t="s">
        <v>480</v>
      </c>
      <c r="L188" s="582" t="s">
        <v>778</v>
      </c>
      <c r="M188" s="582" t="s">
        <v>480</v>
      </c>
      <c r="N188" s="582" t="s">
        <v>480</v>
      </c>
      <c r="O188" s="582" t="s">
        <v>480</v>
      </c>
      <c r="P188" s="582" t="s">
        <v>480</v>
      </c>
      <c r="Q188" s="582" t="s">
        <v>480</v>
      </c>
      <c r="R188" s="582" t="s">
        <v>480</v>
      </c>
      <c r="S188" s="582" t="s">
        <v>480</v>
      </c>
      <c r="T188" s="650" t="s">
        <v>480</v>
      </c>
      <c r="U188" s="650"/>
      <c r="V188" s="650" t="s">
        <v>480</v>
      </c>
      <c r="W188" s="650"/>
    </row>
    <row r="189" spans="1:23" ht="13.5" customHeight="1">
      <c r="A189" s="648"/>
      <c r="B189" s="648"/>
      <c r="C189" s="577"/>
      <c r="D189" s="577" t="s">
        <v>621</v>
      </c>
      <c r="E189" s="651" t="s">
        <v>622</v>
      </c>
      <c r="F189" s="651"/>
      <c r="G189" s="650" t="s">
        <v>779</v>
      </c>
      <c r="H189" s="650"/>
      <c r="I189" s="582" t="s">
        <v>779</v>
      </c>
      <c r="J189" s="582" t="s">
        <v>779</v>
      </c>
      <c r="K189" s="582" t="s">
        <v>480</v>
      </c>
      <c r="L189" s="582" t="s">
        <v>779</v>
      </c>
      <c r="M189" s="582" t="s">
        <v>480</v>
      </c>
      <c r="N189" s="582" t="s">
        <v>480</v>
      </c>
      <c r="O189" s="582" t="s">
        <v>480</v>
      </c>
      <c r="P189" s="582" t="s">
        <v>480</v>
      </c>
      <c r="Q189" s="582" t="s">
        <v>480</v>
      </c>
      <c r="R189" s="582" t="s">
        <v>480</v>
      </c>
      <c r="S189" s="582" t="s">
        <v>480</v>
      </c>
      <c r="T189" s="650" t="s">
        <v>480</v>
      </c>
      <c r="U189" s="650"/>
      <c r="V189" s="650" t="s">
        <v>480</v>
      </c>
      <c r="W189" s="650"/>
    </row>
    <row r="190" spans="1:23" ht="13.5" customHeight="1">
      <c r="A190" s="648"/>
      <c r="B190" s="648"/>
      <c r="C190" s="577"/>
      <c r="D190" s="577" t="s">
        <v>486</v>
      </c>
      <c r="E190" s="651" t="s">
        <v>487</v>
      </c>
      <c r="F190" s="651"/>
      <c r="G190" s="650" t="s">
        <v>780</v>
      </c>
      <c r="H190" s="650"/>
      <c r="I190" s="582" t="s">
        <v>780</v>
      </c>
      <c r="J190" s="582" t="s">
        <v>780</v>
      </c>
      <c r="K190" s="582" t="s">
        <v>480</v>
      </c>
      <c r="L190" s="582" t="s">
        <v>780</v>
      </c>
      <c r="M190" s="582" t="s">
        <v>480</v>
      </c>
      <c r="N190" s="582" t="s">
        <v>480</v>
      </c>
      <c r="O190" s="582" t="s">
        <v>480</v>
      </c>
      <c r="P190" s="582" t="s">
        <v>480</v>
      </c>
      <c r="Q190" s="582" t="s">
        <v>480</v>
      </c>
      <c r="R190" s="582" t="s">
        <v>480</v>
      </c>
      <c r="S190" s="582" t="s">
        <v>480</v>
      </c>
      <c r="T190" s="650" t="s">
        <v>480</v>
      </c>
      <c r="U190" s="650"/>
      <c r="V190" s="650" t="s">
        <v>480</v>
      </c>
      <c r="W190" s="650"/>
    </row>
    <row r="191" spans="1:23" ht="13.5" customHeight="1">
      <c r="A191" s="648"/>
      <c r="B191" s="648"/>
      <c r="C191" s="577"/>
      <c r="D191" s="577" t="s">
        <v>624</v>
      </c>
      <c r="E191" s="651" t="s">
        <v>625</v>
      </c>
      <c r="F191" s="651"/>
      <c r="G191" s="650" t="s">
        <v>781</v>
      </c>
      <c r="H191" s="650"/>
      <c r="I191" s="582" t="s">
        <v>781</v>
      </c>
      <c r="J191" s="582" t="s">
        <v>781</v>
      </c>
      <c r="K191" s="582" t="s">
        <v>480</v>
      </c>
      <c r="L191" s="582" t="s">
        <v>781</v>
      </c>
      <c r="M191" s="582" t="s">
        <v>480</v>
      </c>
      <c r="N191" s="582" t="s">
        <v>480</v>
      </c>
      <c r="O191" s="582" t="s">
        <v>480</v>
      </c>
      <c r="P191" s="582" t="s">
        <v>480</v>
      </c>
      <c r="Q191" s="582" t="s">
        <v>480</v>
      </c>
      <c r="R191" s="582" t="s">
        <v>480</v>
      </c>
      <c r="S191" s="582" t="s">
        <v>480</v>
      </c>
      <c r="T191" s="650" t="s">
        <v>480</v>
      </c>
      <c r="U191" s="650"/>
      <c r="V191" s="650" t="s">
        <v>480</v>
      </c>
      <c r="W191" s="650"/>
    </row>
    <row r="192" spans="1:23" ht="24" customHeight="1">
      <c r="A192" s="648"/>
      <c r="B192" s="648"/>
      <c r="C192" s="577"/>
      <c r="D192" s="577" t="s">
        <v>628</v>
      </c>
      <c r="E192" s="651" t="s">
        <v>629</v>
      </c>
      <c r="F192" s="651"/>
      <c r="G192" s="650" t="s">
        <v>782</v>
      </c>
      <c r="H192" s="650"/>
      <c r="I192" s="582" t="s">
        <v>782</v>
      </c>
      <c r="J192" s="582" t="s">
        <v>782</v>
      </c>
      <c r="K192" s="582" t="s">
        <v>480</v>
      </c>
      <c r="L192" s="582" t="s">
        <v>782</v>
      </c>
      <c r="M192" s="582" t="s">
        <v>480</v>
      </c>
      <c r="N192" s="582" t="s">
        <v>480</v>
      </c>
      <c r="O192" s="582" t="s">
        <v>480</v>
      </c>
      <c r="P192" s="582" t="s">
        <v>480</v>
      </c>
      <c r="Q192" s="582" t="s">
        <v>480</v>
      </c>
      <c r="R192" s="582" t="s">
        <v>480</v>
      </c>
      <c r="S192" s="582" t="s">
        <v>480</v>
      </c>
      <c r="T192" s="650" t="s">
        <v>480</v>
      </c>
      <c r="U192" s="650"/>
      <c r="V192" s="650" t="s">
        <v>480</v>
      </c>
      <c r="W192" s="650"/>
    </row>
    <row r="193" spans="1:23" ht="13.5" customHeight="1">
      <c r="A193" s="648"/>
      <c r="B193" s="648"/>
      <c r="C193" s="577"/>
      <c r="D193" s="577" t="s">
        <v>588</v>
      </c>
      <c r="E193" s="651" t="s">
        <v>589</v>
      </c>
      <c r="F193" s="651"/>
      <c r="G193" s="650" t="s">
        <v>783</v>
      </c>
      <c r="H193" s="650"/>
      <c r="I193" s="582" t="s">
        <v>783</v>
      </c>
      <c r="J193" s="582" t="s">
        <v>783</v>
      </c>
      <c r="K193" s="582" t="s">
        <v>480</v>
      </c>
      <c r="L193" s="582" t="s">
        <v>783</v>
      </c>
      <c r="M193" s="582" t="s">
        <v>480</v>
      </c>
      <c r="N193" s="582" t="s">
        <v>480</v>
      </c>
      <c r="O193" s="582" t="s">
        <v>480</v>
      </c>
      <c r="P193" s="582" t="s">
        <v>480</v>
      </c>
      <c r="Q193" s="582" t="s">
        <v>480</v>
      </c>
      <c r="R193" s="582" t="s">
        <v>480</v>
      </c>
      <c r="S193" s="582" t="s">
        <v>480</v>
      </c>
      <c r="T193" s="650" t="s">
        <v>480</v>
      </c>
      <c r="U193" s="650"/>
      <c r="V193" s="650" t="s">
        <v>480</v>
      </c>
      <c r="W193" s="650"/>
    </row>
    <row r="194" spans="1:23" ht="13.5" customHeight="1">
      <c r="A194" s="648"/>
      <c r="B194" s="648"/>
      <c r="C194" s="577"/>
      <c r="D194" s="577" t="s">
        <v>494</v>
      </c>
      <c r="E194" s="651" t="s">
        <v>495</v>
      </c>
      <c r="F194" s="651"/>
      <c r="G194" s="650" t="s">
        <v>784</v>
      </c>
      <c r="H194" s="650"/>
      <c r="I194" s="582" t="s">
        <v>784</v>
      </c>
      <c r="J194" s="582" t="s">
        <v>784</v>
      </c>
      <c r="K194" s="582" t="s">
        <v>480</v>
      </c>
      <c r="L194" s="582" t="s">
        <v>784</v>
      </c>
      <c r="M194" s="582" t="s">
        <v>480</v>
      </c>
      <c r="N194" s="582" t="s">
        <v>480</v>
      </c>
      <c r="O194" s="582" t="s">
        <v>480</v>
      </c>
      <c r="P194" s="582" t="s">
        <v>480</v>
      </c>
      <c r="Q194" s="582" t="s">
        <v>480</v>
      </c>
      <c r="R194" s="582" t="s">
        <v>480</v>
      </c>
      <c r="S194" s="582" t="s">
        <v>480</v>
      </c>
      <c r="T194" s="650" t="s">
        <v>480</v>
      </c>
      <c r="U194" s="650"/>
      <c r="V194" s="650" t="s">
        <v>480</v>
      </c>
      <c r="W194" s="650"/>
    </row>
    <row r="195" spans="1:23" ht="17.25" customHeight="1">
      <c r="A195" s="648"/>
      <c r="B195" s="648"/>
      <c r="C195" s="577"/>
      <c r="D195" s="577" t="s">
        <v>637</v>
      </c>
      <c r="E195" s="651" t="s">
        <v>638</v>
      </c>
      <c r="F195" s="651"/>
      <c r="G195" s="650" t="s">
        <v>785</v>
      </c>
      <c r="H195" s="650"/>
      <c r="I195" s="582" t="s">
        <v>785</v>
      </c>
      <c r="J195" s="582" t="s">
        <v>785</v>
      </c>
      <c r="K195" s="582" t="s">
        <v>480</v>
      </c>
      <c r="L195" s="582" t="s">
        <v>785</v>
      </c>
      <c r="M195" s="582" t="s">
        <v>480</v>
      </c>
      <c r="N195" s="582" t="s">
        <v>480</v>
      </c>
      <c r="O195" s="582" t="s">
        <v>480</v>
      </c>
      <c r="P195" s="582" t="s">
        <v>480</v>
      </c>
      <c r="Q195" s="582" t="s">
        <v>480</v>
      </c>
      <c r="R195" s="582" t="s">
        <v>480</v>
      </c>
      <c r="S195" s="582" t="s">
        <v>480</v>
      </c>
      <c r="T195" s="650" t="s">
        <v>480</v>
      </c>
      <c r="U195" s="650"/>
      <c r="V195" s="650" t="s">
        <v>480</v>
      </c>
      <c r="W195" s="650"/>
    </row>
    <row r="196" spans="1:23" ht="17.25" customHeight="1">
      <c r="A196" s="648"/>
      <c r="B196" s="648"/>
      <c r="C196" s="577"/>
      <c r="D196" s="577" t="s">
        <v>590</v>
      </c>
      <c r="E196" s="651" t="s">
        <v>591</v>
      </c>
      <c r="F196" s="651"/>
      <c r="G196" s="650" t="s">
        <v>648</v>
      </c>
      <c r="H196" s="650"/>
      <c r="I196" s="582" t="s">
        <v>648</v>
      </c>
      <c r="J196" s="582" t="s">
        <v>648</v>
      </c>
      <c r="K196" s="582" t="s">
        <v>480</v>
      </c>
      <c r="L196" s="582" t="s">
        <v>648</v>
      </c>
      <c r="M196" s="582" t="s">
        <v>480</v>
      </c>
      <c r="N196" s="582" t="s">
        <v>480</v>
      </c>
      <c r="O196" s="582" t="s">
        <v>480</v>
      </c>
      <c r="P196" s="582" t="s">
        <v>480</v>
      </c>
      <c r="Q196" s="582" t="s">
        <v>480</v>
      </c>
      <c r="R196" s="582" t="s">
        <v>480</v>
      </c>
      <c r="S196" s="582" t="s">
        <v>480</v>
      </c>
      <c r="T196" s="650" t="s">
        <v>480</v>
      </c>
      <c r="U196" s="650"/>
      <c r="V196" s="650" t="s">
        <v>480</v>
      </c>
      <c r="W196" s="650"/>
    </row>
    <row r="197" spans="1:23" ht="13.5" customHeight="1">
      <c r="A197" s="648"/>
      <c r="B197" s="648"/>
      <c r="C197" s="577" t="s">
        <v>786</v>
      </c>
      <c r="D197" s="577"/>
      <c r="E197" s="651" t="s">
        <v>124</v>
      </c>
      <c r="F197" s="651"/>
      <c r="G197" s="650" t="s">
        <v>787</v>
      </c>
      <c r="H197" s="650"/>
      <c r="I197" s="582" t="s">
        <v>787</v>
      </c>
      <c r="J197" s="582" t="s">
        <v>787</v>
      </c>
      <c r="K197" s="582" t="s">
        <v>480</v>
      </c>
      <c r="L197" s="582" t="s">
        <v>787</v>
      </c>
      <c r="M197" s="582" t="s">
        <v>480</v>
      </c>
      <c r="N197" s="582" t="s">
        <v>480</v>
      </c>
      <c r="O197" s="582" t="s">
        <v>480</v>
      </c>
      <c r="P197" s="582" t="s">
        <v>480</v>
      </c>
      <c r="Q197" s="582" t="s">
        <v>480</v>
      </c>
      <c r="R197" s="582" t="s">
        <v>480</v>
      </c>
      <c r="S197" s="582" t="s">
        <v>480</v>
      </c>
      <c r="T197" s="650" t="s">
        <v>480</v>
      </c>
      <c r="U197" s="650"/>
      <c r="V197" s="650" t="s">
        <v>480</v>
      </c>
      <c r="W197" s="650"/>
    </row>
    <row r="198" spans="1:23" ht="13.5" customHeight="1">
      <c r="A198" s="648"/>
      <c r="B198" s="648"/>
      <c r="C198" s="577"/>
      <c r="D198" s="577" t="s">
        <v>486</v>
      </c>
      <c r="E198" s="651" t="s">
        <v>487</v>
      </c>
      <c r="F198" s="651"/>
      <c r="G198" s="650" t="s">
        <v>787</v>
      </c>
      <c r="H198" s="650"/>
      <c r="I198" s="582" t="s">
        <v>787</v>
      </c>
      <c r="J198" s="582" t="s">
        <v>787</v>
      </c>
      <c r="K198" s="582" t="s">
        <v>480</v>
      </c>
      <c r="L198" s="582" t="s">
        <v>787</v>
      </c>
      <c r="M198" s="582" t="s">
        <v>480</v>
      </c>
      <c r="N198" s="582" t="s">
        <v>480</v>
      </c>
      <c r="O198" s="582" t="s">
        <v>480</v>
      </c>
      <c r="P198" s="582" t="s">
        <v>480</v>
      </c>
      <c r="Q198" s="582" t="s">
        <v>480</v>
      </c>
      <c r="R198" s="582" t="s">
        <v>480</v>
      </c>
      <c r="S198" s="582" t="s">
        <v>480</v>
      </c>
      <c r="T198" s="650" t="s">
        <v>480</v>
      </c>
      <c r="U198" s="650"/>
      <c r="V198" s="650" t="s">
        <v>480</v>
      </c>
      <c r="W198" s="650"/>
    </row>
    <row r="199" spans="1:23" ht="17.25" customHeight="1">
      <c r="A199" s="648"/>
      <c r="B199" s="648"/>
      <c r="C199" s="577" t="s">
        <v>788</v>
      </c>
      <c r="D199" s="577"/>
      <c r="E199" s="651" t="s">
        <v>789</v>
      </c>
      <c r="F199" s="651"/>
      <c r="G199" s="650" t="s">
        <v>790</v>
      </c>
      <c r="H199" s="650"/>
      <c r="I199" s="582" t="s">
        <v>790</v>
      </c>
      <c r="J199" s="582" t="s">
        <v>791</v>
      </c>
      <c r="K199" s="582" t="s">
        <v>792</v>
      </c>
      <c r="L199" s="582" t="s">
        <v>793</v>
      </c>
      <c r="M199" s="582" t="s">
        <v>480</v>
      </c>
      <c r="N199" s="582" t="s">
        <v>582</v>
      </c>
      <c r="O199" s="582" t="s">
        <v>480</v>
      </c>
      <c r="P199" s="582" t="s">
        <v>480</v>
      </c>
      <c r="Q199" s="582" t="s">
        <v>480</v>
      </c>
      <c r="R199" s="582" t="s">
        <v>480</v>
      </c>
      <c r="S199" s="582" t="s">
        <v>480</v>
      </c>
      <c r="T199" s="650" t="s">
        <v>480</v>
      </c>
      <c r="U199" s="650"/>
      <c r="V199" s="650" t="s">
        <v>480</v>
      </c>
      <c r="W199" s="650"/>
    </row>
    <row r="200" spans="1:23" ht="13.5" customHeight="1">
      <c r="A200" s="648"/>
      <c r="B200" s="648"/>
      <c r="C200" s="577"/>
      <c r="D200" s="577" t="s">
        <v>600</v>
      </c>
      <c r="E200" s="651" t="s">
        <v>601</v>
      </c>
      <c r="F200" s="651"/>
      <c r="G200" s="650" t="s">
        <v>582</v>
      </c>
      <c r="H200" s="650"/>
      <c r="I200" s="582" t="s">
        <v>582</v>
      </c>
      <c r="J200" s="582" t="s">
        <v>480</v>
      </c>
      <c r="K200" s="582" t="s">
        <v>480</v>
      </c>
      <c r="L200" s="582" t="s">
        <v>480</v>
      </c>
      <c r="M200" s="582" t="s">
        <v>480</v>
      </c>
      <c r="N200" s="582" t="s">
        <v>582</v>
      </c>
      <c r="O200" s="582" t="s">
        <v>480</v>
      </c>
      <c r="P200" s="582" t="s">
        <v>480</v>
      </c>
      <c r="Q200" s="582" t="s">
        <v>480</v>
      </c>
      <c r="R200" s="582" t="s">
        <v>480</v>
      </c>
      <c r="S200" s="582" t="s">
        <v>480</v>
      </c>
      <c r="T200" s="650" t="s">
        <v>480</v>
      </c>
      <c r="U200" s="650"/>
      <c r="V200" s="650" t="s">
        <v>480</v>
      </c>
      <c r="W200" s="650"/>
    </row>
    <row r="201" spans="1:23" ht="13.5" customHeight="1">
      <c r="A201" s="648"/>
      <c r="B201" s="648"/>
      <c r="C201" s="577"/>
      <c r="D201" s="577" t="s">
        <v>602</v>
      </c>
      <c r="E201" s="651" t="s">
        <v>603</v>
      </c>
      <c r="F201" s="651"/>
      <c r="G201" s="650" t="s">
        <v>794</v>
      </c>
      <c r="H201" s="650"/>
      <c r="I201" s="582" t="s">
        <v>794</v>
      </c>
      <c r="J201" s="582" t="s">
        <v>794</v>
      </c>
      <c r="K201" s="582" t="s">
        <v>794</v>
      </c>
      <c r="L201" s="582" t="s">
        <v>480</v>
      </c>
      <c r="M201" s="582" t="s">
        <v>480</v>
      </c>
      <c r="N201" s="582" t="s">
        <v>480</v>
      </c>
      <c r="O201" s="582" t="s">
        <v>480</v>
      </c>
      <c r="P201" s="582" t="s">
        <v>480</v>
      </c>
      <c r="Q201" s="582" t="s">
        <v>480</v>
      </c>
      <c r="R201" s="582" t="s">
        <v>480</v>
      </c>
      <c r="S201" s="582" t="s">
        <v>480</v>
      </c>
      <c r="T201" s="650" t="s">
        <v>480</v>
      </c>
      <c r="U201" s="650"/>
      <c r="V201" s="650" t="s">
        <v>480</v>
      </c>
      <c r="W201" s="650"/>
    </row>
    <row r="202" spans="1:23" ht="13.5" customHeight="1">
      <c r="A202" s="648"/>
      <c r="B202" s="648"/>
      <c r="C202" s="577"/>
      <c r="D202" s="577" t="s">
        <v>605</v>
      </c>
      <c r="E202" s="651" t="s">
        <v>606</v>
      </c>
      <c r="F202" s="651"/>
      <c r="G202" s="650" t="s">
        <v>795</v>
      </c>
      <c r="H202" s="650"/>
      <c r="I202" s="582" t="s">
        <v>795</v>
      </c>
      <c r="J202" s="582" t="s">
        <v>795</v>
      </c>
      <c r="K202" s="582" t="s">
        <v>795</v>
      </c>
      <c r="L202" s="582" t="s">
        <v>480</v>
      </c>
      <c r="M202" s="582" t="s">
        <v>480</v>
      </c>
      <c r="N202" s="582" t="s">
        <v>480</v>
      </c>
      <c r="O202" s="582" t="s">
        <v>480</v>
      </c>
      <c r="P202" s="582" t="s">
        <v>480</v>
      </c>
      <c r="Q202" s="582" t="s">
        <v>480</v>
      </c>
      <c r="R202" s="582" t="s">
        <v>480</v>
      </c>
      <c r="S202" s="582" t="s">
        <v>480</v>
      </c>
      <c r="T202" s="650" t="s">
        <v>480</v>
      </c>
      <c r="U202" s="650"/>
      <c r="V202" s="650" t="s">
        <v>480</v>
      </c>
      <c r="W202" s="650"/>
    </row>
    <row r="203" spans="1:23" ht="13.5" customHeight="1">
      <c r="A203" s="648"/>
      <c r="B203" s="648"/>
      <c r="C203" s="577"/>
      <c r="D203" s="577" t="s">
        <v>608</v>
      </c>
      <c r="E203" s="651" t="s">
        <v>609</v>
      </c>
      <c r="F203" s="651"/>
      <c r="G203" s="650" t="s">
        <v>796</v>
      </c>
      <c r="H203" s="650"/>
      <c r="I203" s="582" t="s">
        <v>796</v>
      </c>
      <c r="J203" s="582" t="s">
        <v>796</v>
      </c>
      <c r="K203" s="582" t="s">
        <v>796</v>
      </c>
      <c r="L203" s="582" t="s">
        <v>480</v>
      </c>
      <c r="M203" s="582" t="s">
        <v>480</v>
      </c>
      <c r="N203" s="582" t="s">
        <v>480</v>
      </c>
      <c r="O203" s="582" t="s">
        <v>480</v>
      </c>
      <c r="P203" s="582" t="s">
        <v>480</v>
      </c>
      <c r="Q203" s="582" t="s">
        <v>480</v>
      </c>
      <c r="R203" s="582" t="s">
        <v>480</v>
      </c>
      <c r="S203" s="582" t="s">
        <v>480</v>
      </c>
      <c r="T203" s="650" t="s">
        <v>480</v>
      </c>
      <c r="U203" s="650"/>
      <c r="V203" s="650" t="s">
        <v>480</v>
      </c>
      <c r="W203" s="650"/>
    </row>
    <row r="204" spans="1:23" ht="13.5" customHeight="1">
      <c r="A204" s="648"/>
      <c r="B204" s="648"/>
      <c r="C204" s="577"/>
      <c r="D204" s="577" t="s">
        <v>611</v>
      </c>
      <c r="E204" s="651" t="s">
        <v>612</v>
      </c>
      <c r="F204" s="651"/>
      <c r="G204" s="650" t="s">
        <v>797</v>
      </c>
      <c r="H204" s="650"/>
      <c r="I204" s="582" t="s">
        <v>797</v>
      </c>
      <c r="J204" s="582" t="s">
        <v>797</v>
      </c>
      <c r="K204" s="582" t="s">
        <v>797</v>
      </c>
      <c r="L204" s="582" t="s">
        <v>480</v>
      </c>
      <c r="M204" s="582" t="s">
        <v>480</v>
      </c>
      <c r="N204" s="582" t="s">
        <v>480</v>
      </c>
      <c r="O204" s="582" t="s">
        <v>480</v>
      </c>
      <c r="P204" s="582" t="s">
        <v>480</v>
      </c>
      <c r="Q204" s="582" t="s">
        <v>480</v>
      </c>
      <c r="R204" s="582" t="s">
        <v>480</v>
      </c>
      <c r="S204" s="582" t="s">
        <v>480</v>
      </c>
      <c r="T204" s="650" t="s">
        <v>480</v>
      </c>
      <c r="U204" s="650"/>
      <c r="V204" s="650" t="s">
        <v>480</v>
      </c>
      <c r="W204" s="650"/>
    </row>
    <row r="205" spans="1:23" ht="13.5" customHeight="1">
      <c r="A205" s="648"/>
      <c r="B205" s="648"/>
      <c r="C205" s="577"/>
      <c r="D205" s="577" t="s">
        <v>543</v>
      </c>
      <c r="E205" s="651" t="s">
        <v>544</v>
      </c>
      <c r="F205" s="651"/>
      <c r="G205" s="650" t="s">
        <v>798</v>
      </c>
      <c r="H205" s="650"/>
      <c r="I205" s="582" t="s">
        <v>798</v>
      </c>
      <c r="J205" s="582" t="s">
        <v>798</v>
      </c>
      <c r="K205" s="582" t="s">
        <v>798</v>
      </c>
      <c r="L205" s="582" t="s">
        <v>480</v>
      </c>
      <c r="M205" s="582" t="s">
        <v>480</v>
      </c>
      <c r="N205" s="582" t="s">
        <v>480</v>
      </c>
      <c r="O205" s="582" t="s">
        <v>480</v>
      </c>
      <c r="P205" s="582" t="s">
        <v>480</v>
      </c>
      <c r="Q205" s="582" t="s">
        <v>480</v>
      </c>
      <c r="R205" s="582" t="s">
        <v>480</v>
      </c>
      <c r="S205" s="582" t="s">
        <v>480</v>
      </c>
      <c r="T205" s="650" t="s">
        <v>480</v>
      </c>
      <c r="U205" s="650"/>
      <c r="V205" s="650" t="s">
        <v>480</v>
      </c>
      <c r="W205" s="650"/>
    </row>
    <row r="206" spans="1:23" ht="13.5" customHeight="1">
      <c r="A206" s="648"/>
      <c r="B206" s="648"/>
      <c r="C206" s="577"/>
      <c r="D206" s="577" t="s">
        <v>483</v>
      </c>
      <c r="E206" s="651" t="s">
        <v>484</v>
      </c>
      <c r="F206" s="651"/>
      <c r="G206" s="650" t="s">
        <v>568</v>
      </c>
      <c r="H206" s="650"/>
      <c r="I206" s="582" t="s">
        <v>568</v>
      </c>
      <c r="J206" s="582" t="s">
        <v>568</v>
      </c>
      <c r="K206" s="582" t="s">
        <v>480</v>
      </c>
      <c r="L206" s="582" t="s">
        <v>568</v>
      </c>
      <c r="M206" s="582" t="s">
        <v>480</v>
      </c>
      <c r="N206" s="582" t="s">
        <v>480</v>
      </c>
      <c r="O206" s="582" t="s">
        <v>480</v>
      </c>
      <c r="P206" s="582" t="s">
        <v>480</v>
      </c>
      <c r="Q206" s="582" t="s">
        <v>480</v>
      </c>
      <c r="R206" s="582" t="s">
        <v>480</v>
      </c>
      <c r="S206" s="582" t="s">
        <v>480</v>
      </c>
      <c r="T206" s="650" t="s">
        <v>480</v>
      </c>
      <c r="U206" s="650"/>
      <c r="V206" s="650" t="s">
        <v>480</v>
      </c>
      <c r="W206" s="650"/>
    </row>
    <row r="207" spans="1:23" ht="13.5" customHeight="1">
      <c r="A207" s="648"/>
      <c r="B207" s="648"/>
      <c r="C207" s="577"/>
      <c r="D207" s="577" t="s">
        <v>558</v>
      </c>
      <c r="E207" s="651" t="s">
        <v>559</v>
      </c>
      <c r="F207" s="651"/>
      <c r="G207" s="650" t="s">
        <v>799</v>
      </c>
      <c r="H207" s="650"/>
      <c r="I207" s="582" t="s">
        <v>799</v>
      </c>
      <c r="J207" s="582" t="s">
        <v>799</v>
      </c>
      <c r="K207" s="582" t="s">
        <v>480</v>
      </c>
      <c r="L207" s="582" t="s">
        <v>799</v>
      </c>
      <c r="M207" s="582" t="s">
        <v>480</v>
      </c>
      <c r="N207" s="582" t="s">
        <v>480</v>
      </c>
      <c r="O207" s="582" t="s">
        <v>480</v>
      </c>
      <c r="P207" s="582" t="s">
        <v>480</v>
      </c>
      <c r="Q207" s="582" t="s">
        <v>480</v>
      </c>
      <c r="R207" s="582" t="s">
        <v>480</v>
      </c>
      <c r="S207" s="582" t="s">
        <v>480</v>
      </c>
      <c r="T207" s="650" t="s">
        <v>480</v>
      </c>
      <c r="U207" s="650"/>
      <c r="V207" s="650" t="s">
        <v>480</v>
      </c>
      <c r="W207" s="650"/>
    </row>
    <row r="208" spans="1:23" ht="13.5" customHeight="1">
      <c r="A208" s="648"/>
      <c r="B208" s="648"/>
      <c r="C208" s="577"/>
      <c r="D208" s="577" t="s">
        <v>517</v>
      </c>
      <c r="E208" s="651" t="s">
        <v>518</v>
      </c>
      <c r="F208" s="651"/>
      <c r="G208" s="650" t="s">
        <v>800</v>
      </c>
      <c r="H208" s="650"/>
      <c r="I208" s="582" t="s">
        <v>800</v>
      </c>
      <c r="J208" s="582" t="s">
        <v>800</v>
      </c>
      <c r="K208" s="582" t="s">
        <v>480</v>
      </c>
      <c r="L208" s="582" t="s">
        <v>800</v>
      </c>
      <c r="M208" s="582" t="s">
        <v>480</v>
      </c>
      <c r="N208" s="582" t="s">
        <v>480</v>
      </c>
      <c r="O208" s="582" t="s">
        <v>480</v>
      </c>
      <c r="P208" s="582" t="s">
        <v>480</v>
      </c>
      <c r="Q208" s="582" t="s">
        <v>480</v>
      </c>
      <c r="R208" s="582" t="s">
        <v>480</v>
      </c>
      <c r="S208" s="582" t="s">
        <v>480</v>
      </c>
      <c r="T208" s="650" t="s">
        <v>480</v>
      </c>
      <c r="U208" s="650"/>
      <c r="V208" s="650" t="s">
        <v>480</v>
      </c>
      <c r="W208" s="650"/>
    </row>
    <row r="209" spans="1:23" ht="13.5" customHeight="1">
      <c r="A209" s="648"/>
      <c r="B209" s="648"/>
      <c r="C209" s="577"/>
      <c r="D209" s="577" t="s">
        <v>621</v>
      </c>
      <c r="E209" s="651" t="s">
        <v>622</v>
      </c>
      <c r="F209" s="651"/>
      <c r="G209" s="650" t="s">
        <v>801</v>
      </c>
      <c r="H209" s="650"/>
      <c r="I209" s="582" t="s">
        <v>801</v>
      </c>
      <c r="J209" s="582" t="s">
        <v>801</v>
      </c>
      <c r="K209" s="582" t="s">
        <v>480</v>
      </c>
      <c r="L209" s="582" t="s">
        <v>801</v>
      </c>
      <c r="M209" s="582" t="s">
        <v>480</v>
      </c>
      <c r="N209" s="582" t="s">
        <v>480</v>
      </c>
      <c r="O209" s="582" t="s">
        <v>480</v>
      </c>
      <c r="P209" s="582" t="s">
        <v>480</v>
      </c>
      <c r="Q209" s="582" t="s">
        <v>480</v>
      </c>
      <c r="R209" s="582" t="s">
        <v>480</v>
      </c>
      <c r="S209" s="582" t="s">
        <v>480</v>
      </c>
      <c r="T209" s="650" t="s">
        <v>480</v>
      </c>
      <c r="U209" s="650"/>
      <c r="V209" s="650" t="s">
        <v>480</v>
      </c>
      <c r="W209" s="650"/>
    </row>
    <row r="210" spans="1:23" ht="13.5" customHeight="1">
      <c r="A210" s="648"/>
      <c r="B210" s="648"/>
      <c r="C210" s="577"/>
      <c r="D210" s="577" t="s">
        <v>486</v>
      </c>
      <c r="E210" s="651" t="s">
        <v>487</v>
      </c>
      <c r="F210" s="651"/>
      <c r="G210" s="650" t="s">
        <v>531</v>
      </c>
      <c r="H210" s="650"/>
      <c r="I210" s="582" t="s">
        <v>531</v>
      </c>
      <c r="J210" s="582" t="s">
        <v>531</v>
      </c>
      <c r="K210" s="582" t="s">
        <v>480</v>
      </c>
      <c r="L210" s="582" t="s">
        <v>531</v>
      </c>
      <c r="M210" s="582" t="s">
        <v>480</v>
      </c>
      <c r="N210" s="582" t="s">
        <v>480</v>
      </c>
      <c r="O210" s="582" t="s">
        <v>480</v>
      </c>
      <c r="P210" s="582" t="s">
        <v>480</v>
      </c>
      <c r="Q210" s="582" t="s">
        <v>480</v>
      </c>
      <c r="R210" s="582" t="s">
        <v>480</v>
      </c>
      <c r="S210" s="582" t="s">
        <v>480</v>
      </c>
      <c r="T210" s="650" t="s">
        <v>480</v>
      </c>
      <c r="U210" s="650"/>
      <c r="V210" s="650" t="s">
        <v>480</v>
      </c>
      <c r="W210" s="650"/>
    </row>
    <row r="211" spans="1:23" ht="13.5" customHeight="1">
      <c r="A211" s="648"/>
      <c r="B211" s="648"/>
      <c r="C211" s="577"/>
      <c r="D211" s="577" t="s">
        <v>624</v>
      </c>
      <c r="E211" s="651" t="s">
        <v>625</v>
      </c>
      <c r="F211" s="651"/>
      <c r="G211" s="650" t="s">
        <v>802</v>
      </c>
      <c r="H211" s="650"/>
      <c r="I211" s="582" t="s">
        <v>802</v>
      </c>
      <c r="J211" s="582" t="s">
        <v>802</v>
      </c>
      <c r="K211" s="582" t="s">
        <v>480</v>
      </c>
      <c r="L211" s="582" t="s">
        <v>802</v>
      </c>
      <c r="M211" s="582" t="s">
        <v>480</v>
      </c>
      <c r="N211" s="582" t="s">
        <v>480</v>
      </c>
      <c r="O211" s="582" t="s">
        <v>480</v>
      </c>
      <c r="P211" s="582" t="s">
        <v>480</v>
      </c>
      <c r="Q211" s="582" t="s">
        <v>480</v>
      </c>
      <c r="R211" s="582" t="s">
        <v>480</v>
      </c>
      <c r="S211" s="582" t="s">
        <v>480</v>
      </c>
      <c r="T211" s="650" t="s">
        <v>480</v>
      </c>
      <c r="U211" s="650"/>
      <c r="V211" s="650" t="s">
        <v>480</v>
      </c>
      <c r="W211" s="650"/>
    </row>
    <row r="212" spans="1:23" ht="24" customHeight="1">
      <c r="A212" s="648"/>
      <c r="B212" s="648"/>
      <c r="C212" s="577"/>
      <c r="D212" s="577" t="s">
        <v>628</v>
      </c>
      <c r="E212" s="651" t="s">
        <v>629</v>
      </c>
      <c r="F212" s="651"/>
      <c r="G212" s="650" t="s">
        <v>587</v>
      </c>
      <c r="H212" s="650"/>
      <c r="I212" s="582" t="s">
        <v>587</v>
      </c>
      <c r="J212" s="582" t="s">
        <v>587</v>
      </c>
      <c r="K212" s="582" t="s">
        <v>480</v>
      </c>
      <c r="L212" s="582" t="s">
        <v>587</v>
      </c>
      <c r="M212" s="582" t="s">
        <v>480</v>
      </c>
      <c r="N212" s="582" t="s">
        <v>480</v>
      </c>
      <c r="O212" s="582" t="s">
        <v>480</v>
      </c>
      <c r="P212" s="582" t="s">
        <v>480</v>
      </c>
      <c r="Q212" s="582" t="s">
        <v>480</v>
      </c>
      <c r="R212" s="582" t="s">
        <v>480</v>
      </c>
      <c r="S212" s="582" t="s">
        <v>480</v>
      </c>
      <c r="T212" s="650" t="s">
        <v>480</v>
      </c>
      <c r="U212" s="650"/>
      <c r="V212" s="650" t="s">
        <v>480</v>
      </c>
      <c r="W212" s="650"/>
    </row>
    <row r="213" spans="1:23" ht="13.5" customHeight="1">
      <c r="A213" s="648"/>
      <c r="B213" s="648"/>
      <c r="C213" s="577"/>
      <c r="D213" s="577" t="s">
        <v>588</v>
      </c>
      <c r="E213" s="651" t="s">
        <v>589</v>
      </c>
      <c r="F213" s="651"/>
      <c r="G213" s="650" t="s">
        <v>488</v>
      </c>
      <c r="H213" s="650"/>
      <c r="I213" s="582" t="s">
        <v>488</v>
      </c>
      <c r="J213" s="582" t="s">
        <v>488</v>
      </c>
      <c r="K213" s="582" t="s">
        <v>480</v>
      </c>
      <c r="L213" s="582" t="s">
        <v>488</v>
      </c>
      <c r="M213" s="582" t="s">
        <v>480</v>
      </c>
      <c r="N213" s="582" t="s">
        <v>480</v>
      </c>
      <c r="O213" s="582" t="s">
        <v>480</v>
      </c>
      <c r="P213" s="582" t="s">
        <v>480</v>
      </c>
      <c r="Q213" s="582" t="s">
        <v>480</v>
      </c>
      <c r="R213" s="582" t="s">
        <v>480</v>
      </c>
      <c r="S213" s="582" t="s">
        <v>480</v>
      </c>
      <c r="T213" s="650" t="s">
        <v>480</v>
      </c>
      <c r="U213" s="650"/>
      <c r="V213" s="650" t="s">
        <v>480</v>
      </c>
      <c r="W213" s="650"/>
    </row>
    <row r="214" spans="1:23" ht="13.5" customHeight="1">
      <c r="A214" s="648"/>
      <c r="B214" s="648"/>
      <c r="C214" s="577"/>
      <c r="D214" s="577" t="s">
        <v>494</v>
      </c>
      <c r="E214" s="651" t="s">
        <v>495</v>
      </c>
      <c r="F214" s="651"/>
      <c r="G214" s="650" t="s">
        <v>803</v>
      </c>
      <c r="H214" s="650"/>
      <c r="I214" s="582" t="s">
        <v>803</v>
      </c>
      <c r="J214" s="582" t="s">
        <v>803</v>
      </c>
      <c r="K214" s="582" t="s">
        <v>480</v>
      </c>
      <c r="L214" s="582" t="s">
        <v>803</v>
      </c>
      <c r="M214" s="582" t="s">
        <v>480</v>
      </c>
      <c r="N214" s="582" t="s">
        <v>480</v>
      </c>
      <c r="O214" s="582" t="s">
        <v>480</v>
      </c>
      <c r="P214" s="582" t="s">
        <v>480</v>
      </c>
      <c r="Q214" s="582" t="s">
        <v>480</v>
      </c>
      <c r="R214" s="582" t="s">
        <v>480</v>
      </c>
      <c r="S214" s="582" t="s">
        <v>480</v>
      </c>
      <c r="T214" s="650" t="s">
        <v>480</v>
      </c>
      <c r="U214" s="650"/>
      <c r="V214" s="650" t="s">
        <v>480</v>
      </c>
      <c r="W214" s="650"/>
    </row>
    <row r="215" spans="1:23" ht="17.25" customHeight="1">
      <c r="A215" s="648"/>
      <c r="B215" s="648"/>
      <c r="C215" s="577"/>
      <c r="D215" s="577" t="s">
        <v>637</v>
      </c>
      <c r="E215" s="651" t="s">
        <v>638</v>
      </c>
      <c r="F215" s="651"/>
      <c r="G215" s="650" t="s">
        <v>804</v>
      </c>
      <c r="H215" s="650"/>
      <c r="I215" s="582" t="s">
        <v>804</v>
      </c>
      <c r="J215" s="582" t="s">
        <v>804</v>
      </c>
      <c r="K215" s="582" t="s">
        <v>480</v>
      </c>
      <c r="L215" s="582" t="s">
        <v>804</v>
      </c>
      <c r="M215" s="582" t="s">
        <v>480</v>
      </c>
      <c r="N215" s="582" t="s">
        <v>480</v>
      </c>
      <c r="O215" s="582" t="s">
        <v>480</v>
      </c>
      <c r="P215" s="582" t="s">
        <v>480</v>
      </c>
      <c r="Q215" s="582" t="s">
        <v>480</v>
      </c>
      <c r="R215" s="582" t="s">
        <v>480</v>
      </c>
      <c r="S215" s="582" t="s">
        <v>480</v>
      </c>
      <c r="T215" s="650" t="s">
        <v>480</v>
      </c>
      <c r="U215" s="650"/>
      <c r="V215" s="650" t="s">
        <v>480</v>
      </c>
      <c r="W215" s="650"/>
    </row>
    <row r="216" spans="1:23" ht="17.25" customHeight="1">
      <c r="A216" s="648"/>
      <c r="B216" s="648"/>
      <c r="C216" s="577"/>
      <c r="D216" s="577" t="s">
        <v>590</v>
      </c>
      <c r="E216" s="651" t="s">
        <v>591</v>
      </c>
      <c r="F216" s="651"/>
      <c r="G216" s="650" t="s">
        <v>521</v>
      </c>
      <c r="H216" s="650"/>
      <c r="I216" s="582" t="s">
        <v>521</v>
      </c>
      <c r="J216" s="582" t="s">
        <v>521</v>
      </c>
      <c r="K216" s="582" t="s">
        <v>480</v>
      </c>
      <c r="L216" s="582" t="s">
        <v>521</v>
      </c>
      <c r="M216" s="582" t="s">
        <v>480</v>
      </c>
      <c r="N216" s="582" t="s">
        <v>480</v>
      </c>
      <c r="O216" s="582" t="s">
        <v>480</v>
      </c>
      <c r="P216" s="582" t="s">
        <v>480</v>
      </c>
      <c r="Q216" s="582" t="s">
        <v>480</v>
      </c>
      <c r="R216" s="582" t="s">
        <v>480</v>
      </c>
      <c r="S216" s="582" t="s">
        <v>480</v>
      </c>
      <c r="T216" s="650" t="s">
        <v>480</v>
      </c>
      <c r="U216" s="650"/>
      <c r="V216" s="650" t="s">
        <v>480</v>
      </c>
      <c r="W216" s="650"/>
    </row>
    <row r="217" spans="1:23" ht="13.5" customHeight="1">
      <c r="A217" s="648"/>
      <c r="B217" s="648"/>
      <c r="C217" s="577" t="s">
        <v>805</v>
      </c>
      <c r="D217" s="577"/>
      <c r="E217" s="651" t="s">
        <v>401</v>
      </c>
      <c r="F217" s="651"/>
      <c r="G217" s="650" t="s">
        <v>806</v>
      </c>
      <c r="H217" s="650"/>
      <c r="I217" s="582" t="s">
        <v>806</v>
      </c>
      <c r="J217" s="582" t="s">
        <v>807</v>
      </c>
      <c r="K217" s="582" t="s">
        <v>808</v>
      </c>
      <c r="L217" s="582" t="s">
        <v>809</v>
      </c>
      <c r="M217" s="582" t="s">
        <v>480</v>
      </c>
      <c r="N217" s="582" t="s">
        <v>671</v>
      </c>
      <c r="O217" s="582" t="s">
        <v>480</v>
      </c>
      <c r="P217" s="582" t="s">
        <v>480</v>
      </c>
      <c r="Q217" s="582" t="s">
        <v>480</v>
      </c>
      <c r="R217" s="582" t="s">
        <v>480</v>
      </c>
      <c r="S217" s="582" t="s">
        <v>480</v>
      </c>
      <c r="T217" s="650" t="s">
        <v>480</v>
      </c>
      <c r="U217" s="650"/>
      <c r="V217" s="650" t="s">
        <v>480</v>
      </c>
      <c r="W217" s="650"/>
    </row>
    <row r="218" spans="1:23" ht="13.5" customHeight="1">
      <c r="A218" s="648"/>
      <c r="B218" s="648"/>
      <c r="C218" s="577"/>
      <c r="D218" s="577" t="s">
        <v>600</v>
      </c>
      <c r="E218" s="651" t="s">
        <v>601</v>
      </c>
      <c r="F218" s="651"/>
      <c r="G218" s="650" t="s">
        <v>671</v>
      </c>
      <c r="H218" s="650"/>
      <c r="I218" s="582" t="s">
        <v>671</v>
      </c>
      <c r="J218" s="582" t="s">
        <v>480</v>
      </c>
      <c r="K218" s="582" t="s">
        <v>480</v>
      </c>
      <c r="L218" s="582" t="s">
        <v>480</v>
      </c>
      <c r="M218" s="582" t="s">
        <v>480</v>
      </c>
      <c r="N218" s="582" t="s">
        <v>671</v>
      </c>
      <c r="O218" s="582" t="s">
        <v>480</v>
      </c>
      <c r="P218" s="582" t="s">
        <v>480</v>
      </c>
      <c r="Q218" s="582" t="s">
        <v>480</v>
      </c>
      <c r="R218" s="582" t="s">
        <v>480</v>
      </c>
      <c r="S218" s="582" t="s">
        <v>480</v>
      </c>
      <c r="T218" s="650" t="s">
        <v>480</v>
      </c>
      <c r="U218" s="650"/>
      <c r="V218" s="650" t="s">
        <v>480</v>
      </c>
      <c r="W218" s="650"/>
    </row>
    <row r="219" spans="1:23" ht="13.5" customHeight="1">
      <c r="A219" s="648"/>
      <c r="B219" s="648"/>
      <c r="C219" s="577"/>
      <c r="D219" s="577" t="s">
        <v>602</v>
      </c>
      <c r="E219" s="651" t="s">
        <v>603</v>
      </c>
      <c r="F219" s="651"/>
      <c r="G219" s="650" t="s">
        <v>810</v>
      </c>
      <c r="H219" s="650"/>
      <c r="I219" s="582" t="s">
        <v>810</v>
      </c>
      <c r="J219" s="582" t="s">
        <v>810</v>
      </c>
      <c r="K219" s="582" t="s">
        <v>810</v>
      </c>
      <c r="L219" s="582" t="s">
        <v>480</v>
      </c>
      <c r="M219" s="582" t="s">
        <v>480</v>
      </c>
      <c r="N219" s="582" t="s">
        <v>480</v>
      </c>
      <c r="O219" s="582" t="s">
        <v>480</v>
      </c>
      <c r="P219" s="582" t="s">
        <v>480</v>
      </c>
      <c r="Q219" s="582" t="s">
        <v>480</v>
      </c>
      <c r="R219" s="582" t="s">
        <v>480</v>
      </c>
      <c r="S219" s="582" t="s">
        <v>480</v>
      </c>
      <c r="T219" s="650" t="s">
        <v>480</v>
      </c>
      <c r="U219" s="650"/>
      <c r="V219" s="650" t="s">
        <v>480</v>
      </c>
      <c r="W219" s="650"/>
    </row>
    <row r="220" spans="1:23" ht="13.5" customHeight="1">
      <c r="A220" s="648"/>
      <c r="B220" s="648"/>
      <c r="C220" s="577"/>
      <c r="D220" s="577" t="s">
        <v>605</v>
      </c>
      <c r="E220" s="651" t="s">
        <v>606</v>
      </c>
      <c r="F220" s="651"/>
      <c r="G220" s="650" t="s">
        <v>811</v>
      </c>
      <c r="H220" s="650"/>
      <c r="I220" s="582" t="s">
        <v>811</v>
      </c>
      <c r="J220" s="582" t="s">
        <v>811</v>
      </c>
      <c r="K220" s="582" t="s">
        <v>811</v>
      </c>
      <c r="L220" s="582" t="s">
        <v>480</v>
      </c>
      <c r="M220" s="582" t="s">
        <v>480</v>
      </c>
      <c r="N220" s="582" t="s">
        <v>480</v>
      </c>
      <c r="O220" s="582" t="s">
        <v>480</v>
      </c>
      <c r="P220" s="582" t="s">
        <v>480</v>
      </c>
      <c r="Q220" s="582" t="s">
        <v>480</v>
      </c>
      <c r="R220" s="582" t="s">
        <v>480</v>
      </c>
      <c r="S220" s="582" t="s">
        <v>480</v>
      </c>
      <c r="T220" s="650" t="s">
        <v>480</v>
      </c>
      <c r="U220" s="650"/>
      <c r="V220" s="650" t="s">
        <v>480</v>
      </c>
      <c r="W220" s="650"/>
    </row>
    <row r="221" spans="1:23" ht="13.5" customHeight="1">
      <c r="A221" s="648"/>
      <c r="B221" s="648"/>
      <c r="C221" s="577"/>
      <c r="D221" s="577" t="s">
        <v>608</v>
      </c>
      <c r="E221" s="651" t="s">
        <v>609</v>
      </c>
      <c r="F221" s="651"/>
      <c r="G221" s="650" t="s">
        <v>812</v>
      </c>
      <c r="H221" s="650"/>
      <c r="I221" s="582" t="s">
        <v>812</v>
      </c>
      <c r="J221" s="582" t="s">
        <v>812</v>
      </c>
      <c r="K221" s="582" t="s">
        <v>812</v>
      </c>
      <c r="L221" s="582" t="s">
        <v>480</v>
      </c>
      <c r="M221" s="582" t="s">
        <v>480</v>
      </c>
      <c r="N221" s="582" t="s">
        <v>480</v>
      </c>
      <c r="O221" s="582" t="s">
        <v>480</v>
      </c>
      <c r="P221" s="582" t="s">
        <v>480</v>
      </c>
      <c r="Q221" s="582" t="s">
        <v>480</v>
      </c>
      <c r="R221" s="582" t="s">
        <v>480</v>
      </c>
      <c r="S221" s="582" t="s">
        <v>480</v>
      </c>
      <c r="T221" s="650" t="s">
        <v>480</v>
      </c>
      <c r="U221" s="650"/>
      <c r="V221" s="650" t="s">
        <v>480</v>
      </c>
      <c r="W221" s="650"/>
    </row>
    <row r="222" spans="1:23" ht="13.5" customHeight="1">
      <c r="A222" s="648"/>
      <c r="B222" s="648"/>
      <c r="C222" s="577"/>
      <c r="D222" s="577" t="s">
        <v>611</v>
      </c>
      <c r="E222" s="651" t="s">
        <v>612</v>
      </c>
      <c r="F222" s="651"/>
      <c r="G222" s="650" t="s">
        <v>813</v>
      </c>
      <c r="H222" s="650"/>
      <c r="I222" s="582" t="s">
        <v>813</v>
      </c>
      <c r="J222" s="582" t="s">
        <v>813</v>
      </c>
      <c r="K222" s="582" t="s">
        <v>813</v>
      </c>
      <c r="L222" s="582" t="s">
        <v>480</v>
      </c>
      <c r="M222" s="582" t="s">
        <v>480</v>
      </c>
      <c r="N222" s="582" t="s">
        <v>480</v>
      </c>
      <c r="O222" s="582" t="s">
        <v>480</v>
      </c>
      <c r="P222" s="582" t="s">
        <v>480</v>
      </c>
      <c r="Q222" s="582" t="s">
        <v>480</v>
      </c>
      <c r="R222" s="582" t="s">
        <v>480</v>
      </c>
      <c r="S222" s="582" t="s">
        <v>480</v>
      </c>
      <c r="T222" s="650" t="s">
        <v>480</v>
      </c>
      <c r="U222" s="650"/>
      <c r="V222" s="650" t="s">
        <v>480</v>
      </c>
      <c r="W222" s="650"/>
    </row>
    <row r="223" spans="1:23" ht="13.5" customHeight="1">
      <c r="A223" s="648"/>
      <c r="B223" s="648"/>
      <c r="C223" s="577"/>
      <c r="D223" s="577" t="s">
        <v>558</v>
      </c>
      <c r="E223" s="651" t="s">
        <v>559</v>
      </c>
      <c r="F223" s="651"/>
      <c r="G223" s="650" t="s">
        <v>814</v>
      </c>
      <c r="H223" s="650"/>
      <c r="I223" s="582" t="s">
        <v>814</v>
      </c>
      <c r="J223" s="582" t="s">
        <v>814</v>
      </c>
      <c r="K223" s="582" t="s">
        <v>480</v>
      </c>
      <c r="L223" s="582" t="s">
        <v>814</v>
      </c>
      <c r="M223" s="582" t="s">
        <v>480</v>
      </c>
      <c r="N223" s="582" t="s">
        <v>480</v>
      </c>
      <c r="O223" s="582" t="s">
        <v>480</v>
      </c>
      <c r="P223" s="582" t="s">
        <v>480</v>
      </c>
      <c r="Q223" s="582" t="s">
        <v>480</v>
      </c>
      <c r="R223" s="582" t="s">
        <v>480</v>
      </c>
      <c r="S223" s="582" t="s">
        <v>480</v>
      </c>
      <c r="T223" s="650" t="s">
        <v>480</v>
      </c>
      <c r="U223" s="650"/>
      <c r="V223" s="650" t="s">
        <v>480</v>
      </c>
      <c r="W223" s="650"/>
    </row>
    <row r="224" spans="1:23" ht="13.5" customHeight="1">
      <c r="A224" s="648"/>
      <c r="B224" s="648"/>
      <c r="C224" s="577"/>
      <c r="D224" s="577" t="s">
        <v>621</v>
      </c>
      <c r="E224" s="651" t="s">
        <v>622</v>
      </c>
      <c r="F224" s="651"/>
      <c r="G224" s="650" t="s">
        <v>485</v>
      </c>
      <c r="H224" s="650"/>
      <c r="I224" s="582" t="s">
        <v>485</v>
      </c>
      <c r="J224" s="582" t="s">
        <v>485</v>
      </c>
      <c r="K224" s="582" t="s">
        <v>480</v>
      </c>
      <c r="L224" s="582" t="s">
        <v>485</v>
      </c>
      <c r="M224" s="582" t="s">
        <v>480</v>
      </c>
      <c r="N224" s="582" t="s">
        <v>480</v>
      </c>
      <c r="O224" s="582" t="s">
        <v>480</v>
      </c>
      <c r="P224" s="582" t="s">
        <v>480</v>
      </c>
      <c r="Q224" s="582" t="s">
        <v>480</v>
      </c>
      <c r="R224" s="582" t="s">
        <v>480</v>
      </c>
      <c r="S224" s="582" t="s">
        <v>480</v>
      </c>
      <c r="T224" s="650" t="s">
        <v>480</v>
      </c>
      <c r="U224" s="650"/>
      <c r="V224" s="650" t="s">
        <v>480</v>
      </c>
      <c r="W224" s="650"/>
    </row>
    <row r="225" spans="1:23" ht="13.5" customHeight="1">
      <c r="A225" s="648"/>
      <c r="B225" s="648"/>
      <c r="C225" s="577"/>
      <c r="D225" s="577" t="s">
        <v>486</v>
      </c>
      <c r="E225" s="651" t="s">
        <v>487</v>
      </c>
      <c r="F225" s="651"/>
      <c r="G225" s="650" t="s">
        <v>587</v>
      </c>
      <c r="H225" s="650"/>
      <c r="I225" s="582" t="s">
        <v>587</v>
      </c>
      <c r="J225" s="582" t="s">
        <v>587</v>
      </c>
      <c r="K225" s="582" t="s">
        <v>480</v>
      </c>
      <c r="L225" s="582" t="s">
        <v>587</v>
      </c>
      <c r="M225" s="582" t="s">
        <v>480</v>
      </c>
      <c r="N225" s="582" t="s">
        <v>480</v>
      </c>
      <c r="O225" s="582" t="s">
        <v>480</v>
      </c>
      <c r="P225" s="582" t="s">
        <v>480</v>
      </c>
      <c r="Q225" s="582" t="s">
        <v>480</v>
      </c>
      <c r="R225" s="582" t="s">
        <v>480</v>
      </c>
      <c r="S225" s="582" t="s">
        <v>480</v>
      </c>
      <c r="T225" s="650" t="s">
        <v>480</v>
      </c>
      <c r="U225" s="650"/>
      <c r="V225" s="650" t="s">
        <v>480</v>
      </c>
      <c r="W225" s="650"/>
    </row>
    <row r="226" spans="1:23" ht="17.25" customHeight="1">
      <c r="A226" s="648"/>
      <c r="B226" s="648"/>
      <c r="C226" s="577"/>
      <c r="D226" s="577" t="s">
        <v>637</v>
      </c>
      <c r="E226" s="651" t="s">
        <v>638</v>
      </c>
      <c r="F226" s="651"/>
      <c r="G226" s="650" t="s">
        <v>815</v>
      </c>
      <c r="H226" s="650"/>
      <c r="I226" s="582" t="s">
        <v>815</v>
      </c>
      <c r="J226" s="582" t="s">
        <v>815</v>
      </c>
      <c r="K226" s="582" t="s">
        <v>480</v>
      </c>
      <c r="L226" s="582" t="s">
        <v>815</v>
      </c>
      <c r="M226" s="582" t="s">
        <v>480</v>
      </c>
      <c r="N226" s="582" t="s">
        <v>480</v>
      </c>
      <c r="O226" s="582" t="s">
        <v>480</v>
      </c>
      <c r="P226" s="582" t="s">
        <v>480</v>
      </c>
      <c r="Q226" s="582" t="s">
        <v>480</v>
      </c>
      <c r="R226" s="582" t="s">
        <v>480</v>
      </c>
      <c r="S226" s="582" t="s">
        <v>480</v>
      </c>
      <c r="T226" s="650" t="s">
        <v>480</v>
      </c>
      <c r="U226" s="650"/>
      <c r="V226" s="650" t="s">
        <v>480</v>
      </c>
      <c r="W226" s="650"/>
    </row>
    <row r="227" spans="1:23" ht="13.5" customHeight="1">
      <c r="A227" s="648"/>
      <c r="B227" s="648"/>
      <c r="C227" s="577" t="s">
        <v>816</v>
      </c>
      <c r="D227" s="577"/>
      <c r="E227" s="651" t="s">
        <v>88</v>
      </c>
      <c r="F227" s="651"/>
      <c r="G227" s="650" t="s">
        <v>817</v>
      </c>
      <c r="H227" s="650"/>
      <c r="I227" s="582" t="s">
        <v>817</v>
      </c>
      <c r="J227" s="582" t="s">
        <v>818</v>
      </c>
      <c r="K227" s="582" t="s">
        <v>671</v>
      </c>
      <c r="L227" s="582" t="s">
        <v>819</v>
      </c>
      <c r="M227" s="582" t="s">
        <v>480</v>
      </c>
      <c r="N227" s="582" t="s">
        <v>820</v>
      </c>
      <c r="O227" s="582" t="s">
        <v>721</v>
      </c>
      <c r="P227" s="582" t="s">
        <v>480</v>
      </c>
      <c r="Q227" s="582" t="s">
        <v>480</v>
      </c>
      <c r="R227" s="582" t="s">
        <v>480</v>
      </c>
      <c r="S227" s="582" t="s">
        <v>480</v>
      </c>
      <c r="T227" s="650" t="s">
        <v>480</v>
      </c>
      <c r="U227" s="650"/>
      <c r="V227" s="650" t="s">
        <v>480</v>
      </c>
      <c r="W227" s="650"/>
    </row>
    <row r="228" spans="1:23" ht="13.5" customHeight="1">
      <c r="A228" s="648"/>
      <c r="B228" s="648"/>
      <c r="C228" s="577"/>
      <c r="D228" s="577" t="s">
        <v>821</v>
      </c>
      <c r="E228" s="651" t="s">
        <v>822</v>
      </c>
      <c r="F228" s="651"/>
      <c r="G228" s="650" t="s">
        <v>820</v>
      </c>
      <c r="H228" s="650"/>
      <c r="I228" s="582" t="s">
        <v>820</v>
      </c>
      <c r="J228" s="582" t="s">
        <v>480</v>
      </c>
      <c r="K228" s="582" t="s">
        <v>480</v>
      </c>
      <c r="L228" s="582" t="s">
        <v>480</v>
      </c>
      <c r="M228" s="582" t="s">
        <v>480</v>
      </c>
      <c r="N228" s="582" t="s">
        <v>820</v>
      </c>
      <c r="O228" s="582" t="s">
        <v>480</v>
      </c>
      <c r="P228" s="582" t="s">
        <v>480</v>
      </c>
      <c r="Q228" s="582" t="s">
        <v>480</v>
      </c>
      <c r="R228" s="582" t="s">
        <v>480</v>
      </c>
      <c r="S228" s="582" t="s">
        <v>480</v>
      </c>
      <c r="T228" s="650" t="s">
        <v>480</v>
      </c>
      <c r="U228" s="650"/>
      <c r="V228" s="650" t="s">
        <v>480</v>
      </c>
      <c r="W228" s="650"/>
    </row>
    <row r="229" spans="1:23" ht="13.5" customHeight="1">
      <c r="A229" s="648"/>
      <c r="B229" s="648"/>
      <c r="C229" s="577"/>
      <c r="D229" s="577" t="s">
        <v>823</v>
      </c>
      <c r="E229" s="651" t="s">
        <v>603</v>
      </c>
      <c r="F229" s="651"/>
      <c r="G229" s="650" t="s">
        <v>824</v>
      </c>
      <c r="H229" s="650"/>
      <c r="I229" s="582" t="s">
        <v>824</v>
      </c>
      <c r="J229" s="582" t="s">
        <v>480</v>
      </c>
      <c r="K229" s="582" t="s">
        <v>480</v>
      </c>
      <c r="L229" s="582" t="s">
        <v>480</v>
      </c>
      <c r="M229" s="582" t="s">
        <v>480</v>
      </c>
      <c r="N229" s="582" t="s">
        <v>480</v>
      </c>
      <c r="O229" s="582" t="s">
        <v>824</v>
      </c>
      <c r="P229" s="582" t="s">
        <v>480</v>
      </c>
      <c r="Q229" s="582" t="s">
        <v>480</v>
      </c>
      <c r="R229" s="582" t="s">
        <v>480</v>
      </c>
      <c r="S229" s="582" t="s">
        <v>480</v>
      </c>
      <c r="T229" s="650" t="s">
        <v>480</v>
      </c>
      <c r="U229" s="650"/>
      <c r="V229" s="650" t="s">
        <v>480</v>
      </c>
      <c r="W229" s="650"/>
    </row>
    <row r="230" spans="1:23" ht="13.5" customHeight="1">
      <c r="A230" s="648"/>
      <c r="B230" s="648"/>
      <c r="C230" s="577"/>
      <c r="D230" s="577" t="s">
        <v>825</v>
      </c>
      <c r="E230" s="651" t="s">
        <v>603</v>
      </c>
      <c r="F230" s="651"/>
      <c r="G230" s="650" t="s">
        <v>826</v>
      </c>
      <c r="H230" s="650"/>
      <c r="I230" s="582" t="s">
        <v>826</v>
      </c>
      <c r="J230" s="582" t="s">
        <v>480</v>
      </c>
      <c r="K230" s="582" t="s">
        <v>480</v>
      </c>
      <c r="L230" s="582" t="s">
        <v>480</v>
      </c>
      <c r="M230" s="582" t="s">
        <v>480</v>
      </c>
      <c r="N230" s="582" t="s">
        <v>480</v>
      </c>
      <c r="O230" s="582" t="s">
        <v>826</v>
      </c>
      <c r="P230" s="582" t="s">
        <v>480</v>
      </c>
      <c r="Q230" s="582" t="s">
        <v>480</v>
      </c>
      <c r="R230" s="582" t="s">
        <v>480</v>
      </c>
      <c r="S230" s="582" t="s">
        <v>480</v>
      </c>
      <c r="T230" s="650" t="s">
        <v>480</v>
      </c>
      <c r="U230" s="650"/>
      <c r="V230" s="650" t="s">
        <v>480</v>
      </c>
      <c r="W230" s="650"/>
    </row>
    <row r="231" spans="1:23" ht="13.5" customHeight="1">
      <c r="A231" s="648"/>
      <c r="B231" s="648"/>
      <c r="C231" s="577"/>
      <c r="D231" s="577" t="s">
        <v>827</v>
      </c>
      <c r="E231" s="651" t="s">
        <v>609</v>
      </c>
      <c r="F231" s="651"/>
      <c r="G231" s="650" t="s">
        <v>828</v>
      </c>
      <c r="H231" s="650"/>
      <c r="I231" s="582" t="s">
        <v>828</v>
      </c>
      <c r="J231" s="582" t="s">
        <v>480</v>
      </c>
      <c r="K231" s="582" t="s">
        <v>480</v>
      </c>
      <c r="L231" s="582" t="s">
        <v>480</v>
      </c>
      <c r="M231" s="582" t="s">
        <v>480</v>
      </c>
      <c r="N231" s="582" t="s">
        <v>480</v>
      </c>
      <c r="O231" s="582" t="s">
        <v>828</v>
      </c>
      <c r="P231" s="582" t="s">
        <v>480</v>
      </c>
      <c r="Q231" s="582" t="s">
        <v>480</v>
      </c>
      <c r="R231" s="582" t="s">
        <v>480</v>
      </c>
      <c r="S231" s="582" t="s">
        <v>480</v>
      </c>
      <c r="T231" s="650" t="s">
        <v>480</v>
      </c>
      <c r="U231" s="650"/>
      <c r="V231" s="650" t="s">
        <v>480</v>
      </c>
      <c r="W231" s="650"/>
    </row>
    <row r="232" spans="1:23" ht="13.5" customHeight="1">
      <c r="A232" s="648"/>
      <c r="B232" s="648"/>
      <c r="C232" s="577"/>
      <c r="D232" s="577" t="s">
        <v>829</v>
      </c>
      <c r="E232" s="651" t="s">
        <v>609</v>
      </c>
      <c r="F232" s="651"/>
      <c r="G232" s="650" t="s">
        <v>830</v>
      </c>
      <c r="H232" s="650"/>
      <c r="I232" s="582" t="s">
        <v>830</v>
      </c>
      <c r="J232" s="582" t="s">
        <v>480</v>
      </c>
      <c r="K232" s="582" t="s">
        <v>480</v>
      </c>
      <c r="L232" s="582" t="s">
        <v>480</v>
      </c>
      <c r="M232" s="582" t="s">
        <v>480</v>
      </c>
      <c r="N232" s="582" t="s">
        <v>480</v>
      </c>
      <c r="O232" s="582" t="s">
        <v>830</v>
      </c>
      <c r="P232" s="582" t="s">
        <v>480</v>
      </c>
      <c r="Q232" s="582" t="s">
        <v>480</v>
      </c>
      <c r="R232" s="582" t="s">
        <v>480</v>
      </c>
      <c r="S232" s="582" t="s">
        <v>480</v>
      </c>
      <c r="T232" s="650" t="s">
        <v>480</v>
      </c>
      <c r="U232" s="650"/>
      <c r="V232" s="650" t="s">
        <v>480</v>
      </c>
      <c r="W232" s="650"/>
    </row>
    <row r="233" spans="1:23" ht="13.5" customHeight="1">
      <c r="A233" s="648"/>
      <c r="B233" s="648"/>
      <c r="C233" s="577"/>
      <c r="D233" s="577" t="s">
        <v>831</v>
      </c>
      <c r="E233" s="651" t="s">
        <v>612</v>
      </c>
      <c r="F233" s="651"/>
      <c r="G233" s="650" t="s">
        <v>832</v>
      </c>
      <c r="H233" s="650"/>
      <c r="I233" s="582" t="s">
        <v>832</v>
      </c>
      <c r="J233" s="582" t="s">
        <v>480</v>
      </c>
      <c r="K233" s="582" t="s">
        <v>480</v>
      </c>
      <c r="L233" s="582" t="s">
        <v>480</v>
      </c>
      <c r="M233" s="582" t="s">
        <v>480</v>
      </c>
      <c r="N233" s="582" t="s">
        <v>480</v>
      </c>
      <c r="O233" s="582" t="s">
        <v>832</v>
      </c>
      <c r="P233" s="582" t="s">
        <v>480</v>
      </c>
      <c r="Q233" s="582" t="s">
        <v>480</v>
      </c>
      <c r="R233" s="582" t="s">
        <v>480</v>
      </c>
      <c r="S233" s="582" t="s">
        <v>480</v>
      </c>
      <c r="T233" s="650" t="s">
        <v>480</v>
      </c>
      <c r="U233" s="650"/>
      <c r="V233" s="650" t="s">
        <v>480</v>
      </c>
      <c r="W233" s="650"/>
    </row>
    <row r="234" spans="1:23" ht="13.5" customHeight="1">
      <c r="A234" s="648"/>
      <c r="B234" s="648"/>
      <c r="C234" s="577"/>
      <c r="D234" s="577" t="s">
        <v>833</v>
      </c>
      <c r="E234" s="651" t="s">
        <v>612</v>
      </c>
      <c r="F234" s="651"/>
      <c r="G234" s="650" t="s">
        <v>834</v>
      </c>
      <c r="H234" s="650"/>
      <c r="I234" s="582" t="s">
        <v>834</v>
      </c>
      <c r="J234" s="582" t="s">
        <v>480</v>
      </c>
      <c r="K234" s="582" t="s">
        <v>480</v>
      </c>
      <c r="L234" s="582" t="s">
        <v>480</v>
      </c>
      <c r="M234" s="582" t="s">
        <v>480</v>
      </c>
      <c r="N234" s="582" t="s">
        <v>480</v>
      </c>
      <c r="O234" s="582" t="s">
        <v>834</v>
      </c>
      <c r="P234" s="582" t="s">
        <v>480</v>
      </c>
      <c r="Q234" s="582" t="s">
        <v>480</v>
      </c>
      <c r="R234" s="582" t="s">
        <v>480</v>
      </c>
      <c r="S234" s="582" t="s">
        <v>480</v>
      </c>
      <c r="T234" s="650" t="s">
        <v>480</v>
      </c>
      <c r="U234" s="650"/>
      <c r="V234" s="650" t="s">
        <v>480</v>
      </c>
      <c r="W234" s="650"/>
    </row>
    <row r="235" spans="1:23" ht="13.5" customHeight="1">
      <c r="A235" s="648"/>
      <c r="B235" s="648"/>
      <c r="C235" s="577"/>
      <c r="D235" s="577" t="s">
        <v>543</v>
      </c>
      <c r="E235" s="651" t="s">
        <v>544</v>
      </c>
      <c r="F235" s="651"/>
      <c r="G235" s="650" t="s">
        <v>671</v>
      </c>
      <c r="H235" s="650"/>
      <c r="I235" s="582" t="s">
        <v>671</v>
      </c>
      <c r="J235" s="582" t="s">
        <v>671</v>
      </c>
      <c r="K235" s="582" t="s">
        <v>671</v>
      </c>
      <c r="L235" s="582" t="s">
        <v>480</v>
      </c>
      <c r="M235" s="582" t="s">
        <v>480</v>
      </c>
      <c r="N235" s="582" t="s">
        <v>480</v>
      </c>
      <c r="O235" s="582" t="s">
        <v>480</v>
      </c>
      <c r="P235" s="582" t="s">
        <v>480</v>
      </c>
      <c r="Q235" s="582" t="s">
        <v>480</v>
      </c>
      <c r="R235" s="582" t="s">
        <v>480</v>
      </c>
      <c r="S235" s="582" t="s">
        <v>480</v>
      </c>
      <c r="T235" s="650" t="s">
        <v>480</v>
      </c>
      <c r="U235" s="650"/>
      <c r="V235" s="650" t="s">
        <v>480</v>
      </c>
      <c r="W235" s="650"/>
    </row>
    <row r="236" spans="1:23" ht="13.5" customHeight="1">
      <c r="A236" s="648"/>
      <c r="B236" s="648"/>
      <c r="C236" s="577"/>
      <c r="D236" s="577" t="s">
        <v>835</v>
      </c>
      <c r="E236" s="651" t="s">
        <v>544</v>
      </c>
      <c r="F236" s="651"/>
      <c r="G236" s="650" t="s">
        <v>836</v>
      </c>
      <c r="H236" s="650"/>
      <c r="I236" s="582" t="s">
        <v>836</v>
      </c>
      <c r="J236" s="582" t="s">
        <v>480</v>
      </c>
      <c r="K236" s="582" t="s">
        <v>480</v>
      </c>
      <c r="L236" s="582" t="s">
        <v>480</v>
      </c>
      <c r="M236" s="582" t="s">
        <v>480</v>
      </c>
      <c r="N236" s="582" t="s">
        <v>480</v>
      </c>
      <c r="O236" s="582" t="s">
        <v>836</v>
      </c>
      <c r="P236" s="582" t="s">
        <v>480</v>
      </c>
      <c r="Q236" s="582" t="s">
        <v>480</v>
      </c>
      <c r="R236" s="582" t="s">
        <v>480</v>
      </c>
      <c r="S236" s="582" t="s">
        <v>480</v>
      </c>
      <c r="T236" s="650" t="s">
        <v>480</v>
      </c>
      <c r="U236" s="650"/>
      <c r="V236" s="650" t="s">
        <v>480</v>
      </c>
      <c r="W236" s="650"/>
    </row>
    <row r="237" spans="1:23" ht="13.5" customHeight="1">
      <c r="A237" s="648"/>
      <c r="B237" s="648"/>
      <c r="C237" s="577"/>
      <c r="D237" s="577" t="s">
        <v>837</v>
      </c>
      <c r="E237" s="651" t="s">
        <v>544</v>
      </c>
      <c r="F237" s="651"/>
      <c r="G237" s="650" t="s">
        <v>838</v>
      </c>
      <c r="H237" s="650"/>
      <c r="I237" s="582" t="s">
        <v>838</v>
      </c>
      <c r="J237" s="582" t="s">
        <v>480</v>
      </c>
      <c r="K237" s="582" t="s">
        <v>480</v>
      </c>
      <c r="L237" s="582" t="s">
        <v>480</v>
      </c>
      <c r="M237" s="582" t="s">
        <v>480</v>
      </c>
      <c r="N237" s="582" t="s">
        <v>480</v>
      </c>
      <c r="O237" s="582" t="s">
        <v>838</v>
      </c>
      <c r="P237" s="582" t="s">
        <v>480</v>
      </c>
      <c r="Q237" s="582" t="s">
        <v>480</v>
      </c>
      <c r="R237" s="582" t="s">
        <v>480</v>
      </c>
      <c r="S237" s="582" t="s">
        <v>480</v>
      </c>
      <c r="T237" s="650" t="s">
        <v>480</v>
      </c>
      <c r="U237" s="650"/>
      <c r="V237" s="650" t="s">
        <v>480</v>
      </c>
      <c r="W237" s="650"/>
    </row>
    <row r="238" spans="1:23" ht="13.5" customHeight="1">
      <c r="A238" s="648"/>
      <c r="B238" s="648"/>
      <c r="C238" s="577"/>
      <c r="D238" s="577" t="s">
        <v>839</v>
      </c>
      <c r="E238" s="651" t="s">
        <v>484</v>
      </c>
      <c r="F238" s="651"/>
      <c r="G238" s="650" t="s">
        <v>840</v>
      </c>
      <c r="H238" s="650"/>
      <c r="I238" s="582" t="s">
        <v>840</v>
      </c>
      <c r="J238" s="582" t="s">
        <v>480</v>
      </c>
      <c r="K238" s="582" t="s">
        <v>480</v>
      </c>
      <c r="L238" s="582" t="s">
        <v>480</v>
      </c>
      <c r="M238" s="582" t="s">
        <v>480</v>
      </c>
      <c r="N238" s="582" t="s">
        <v>480</v>
      </c>
      <c r="O238" s="582" t="s">
        <v>840</v>
      </c>
      <c r="P238" s="582" t="s">
        <v>480</v>
      </c>
      <c r="Q238" s="582" t="s">
        <v>480</v>
      </c>
      <c r="R238" s="582" t="s">
        <v>480</v>
      </c>
      <c r="S238" s="582" t="s">
        <v>480</v>
      </c>
      <c r="T238" s="650" t="s">
        <v>480</v>
      </c>
      <c r="U238" s="650"/>
      <c r="V238" s="650" t="s">
        <v>480</v>
      </c>
      <c r="W238" s="650"/>
    </row>
    <row r="239" spans="1:23" ht="13.5" customHeight="1">
      <c r="A239" s="648"/>
      <c r="B239" s="648"/>
      <c r="C239" s="577"/>
      <c r="D239" s="577" t="s">
        <v>841</v>
      </c>
      <c r="E239" s="651" t="s">
        <v>484</v>
      </c>
      <c r="F239" s="651"/>
      <c r="G239" s="650" t="s">
        <v>842</v>
      </c>
      <c r="H239" s="650"/>
      <c r="I239" s="582" t="s">
        <v>842</v>
      </c>
      <c r="J239" s="582" t="s">
        <v>480</v>
      </c>
      <c r="K239" s="582" t="s">
        <v>480</v>
      </c>
      <c r="L239" s="582" t="s">
        <v>480</v>
      </c>
      <c r="M239" s="582" t="s">
        <v>480</v>
      </c>
      <c r="N239" s="582" t="s">
        <v>480</v>
      </c>
      <c r="O239" s="582" t="s">
        <v>842</v>
      </c>
      <c r="P239" s="582" t="s">
        <v>480</v>
      </c>
      <c r="Q239" s="582" t="s">
        <v>480</v>
      </c>
      <c r="R239" s="582" t="s">
        <v>480</v>
      </c>
      <c r="S239" s="582" t="s">
        <v>480</v>
      </c>
      <c r="T239" s="650" t="s">
        <v>480</v>
      </c>
      <c r="U239" s="650"/>
      <c r="V239" s="650" t="s">
        <v>480</v>
      </c>
      <c r="W239" s="650"/>
    </row>
    <row r="240" spans="1:23" ht="13.5" customHeight="1">
      <c r="A240" s="648"/>
      <c r="B240" s="648"/>
      <c r="C240" s="577"/>
      <c r="D240" s="577" t="s">
        <v>486</v>
      </c>
      <c r="E240" s="651" t="s">
        <v>487</v>
      </c>
      <c r="F240" s="651"/>
      <c r="G240" s="650" t="s">
        <v>672</v>
      </c>
      <c r="H240" s="650"/>
      <c r="I240" s="582" t="s">
        <v>672</v>
      </c>
      <c r="J240" s="582" t="s">
        <v>672</v>
      </c>
      <c r="K240" s="582" t="s">
        <v>480</v>
      </c>
      <c r="L240" s="582" t="s">
        <v>672</v>
      </c>
      <c r="M240" s="582" t="s">
        <v>480</v>
      </c>
      <c r="N240" s="582" t="s">
        <v>480</v>
      </c>
      <c r="O240" s="582" t="s">
        <v>480</v>
      </c>
      <c r="P240" s="582" t="s">
        <v>480</v>
      </c>
      <c r="Q240" s="582" t="s">
        <v>480</v>
      </c>
      <c r="R240" s="582" t="s">
        <v>480</v>
      </c>
      <c r="S240" s="582" t="s">
        <v>480</v>
      </c>
      <c r="T240" s="650" t="s">
        <v>480</v>
      </c>
      <c r="U240" s="650"/>
      <c r="V240" s="650" t="s">
        <v>480</v>
      </c>
      <c r="W240" s="650"/>
    </row>
    <row r="241" spans="1:23" ht="17.25" customHeight="1">
      <c r="A241" s="648"/>
      <c r="B241" s="648"/>
      <c r="C241" s="577"/>
      <c r="D241" s="577" t="s">
        <v>637</v>
      </c>
      <c r="E241" s="651" t="s">
        <v>638</v>
      </c>
      <c r="F241" s="651"/>
      <c r="G241" s="650" t="s">
        <v>843</v>
      </c>
      <c r="H241" s="650"/>
      <c r="I241" s="582" t="s">
        <v>843</v>
      </c>
      <c r="J241" s="582" t="s">
        <v>843</v>
      </c>
      <c r="K241" s="582" t="s">
        <v>480</v>
      </c>
      <c r="L241" s="582" t="s">
        <v>843</v>
      </c>
      <c r="M241" s="582" t="s">
        <v>480</v>
      </c>
      <c r="N241" s="582" t="s">
        <v>480</v>
      </c>
      <c r="O241" s="582" t="s">
        <v>480</v>
      </c>
      <c r="P241" s="582" t="s">
        <v>480</v>
      </c>
      <c r="Q241" s="582" t="s">
        <v>480</v>
      </c>
      <c r="R241" s="582" t="s">
        <v>480</v>
      </c>
      <c r="S241" s="582" t="s">
        <v>480</v>
      </c>
      <c r="T241" s="650" t="s">
        <v>480</v>
      </c>
      <c r="U241" s="650"/>
      <c r="V241" s="650" t="s">
        <v>480</v>
      </c>
      <c r="W241" s="650"/>
    </row>
    <row r="242" spans="1:23" ht="13.5" customHeight="1">
      <c r="A242" s="648" t="s">
        <v>844</v>
      </c>
      <c r="B242" s="648"/>
      <c r="C242" s="577"/>
      <c r="D242" s="577"/>
      <c r="E242" s="651" t="s">
        <v>845</v>
      </c>
      <c r="F242" s="651"/>
      <c r="G242" s="650" t="s">
        <v>846</v>
      </c>
      <c r="H242" s="650"/>
      <c r="I242" s="582" t="s">
        <v>846</v>
      </c>
      <c r="J242" s="582" t="s">
        <v>846</v>
      </c>
      <c r="K242" s="582" t="s">
        <v>847</v>
      </c>
      <c r="L242" s="582" t="s">
        <v>848</v>
      </c>
      <c r="M242" s="582" t="s">
        <v>480</v>
      </c>
      <c r="N242" s="582" t="s">
        <v>480</v>
      </c>
      <c r="O242" s="582" t="s">
        <v>480</v>
      </c>
      <c r="P242" s="582" t="s">
        <v>480</v>
      </c>
      <c r="Q242" s="582" t="s">
        <v>480</v>
      </c>
      <c r="R242" s="582" t="s">
        <v>480</v>
      </c>
      <c r="S242" s="582" t="s">
        <v>480</v>
      </c>
      <c r="T242" s="650" t="s">
        <v>480</v>
      </c>
      <c r="U242" s="650"/>
      <c r="V242" s="650" t="s">
        <v>480</v>
      </c>
      <c r="W242" s="650"/>
    </row>
    <row r="243" spans="1:23" ht="13.5" customHeight="1">
      <c r="A243" s="648"/>
      <c r="B243" s="648"/>
      <c r="C243" s="577" t="s">
        <v>849</v>
      </c>
      <c r="D243" s="577"/>
      <c r="E243" s="651" t="s">
        <v>850</v>
      </c>
      <c r="F243" s="651"/>
      <c r="G243" s="650" t="s">
        <v>683</v>
      </c>
      <c r="H243" s="650"/>
      <c r="I243" s="582" t="s">
        <v>683</v>
      </c>
      <c r="J243" s="582" t="s">
        <v>683</v>
      </c>
      <c r="K243" s="582" t="s">
        <v>480</v>
      </c>
      <c r="L243" s="582" t="s">
        <v>683</v>
      </c>
      <c r="M243" s="582" t="s">
        <v>480</v>
      </c>
      <c r="N243" s="582" t="s">
        <v>480</v>
      </c>
      <c r="O243" s="582" t="s">
        <v>480</v>
      </c>
      <c r="P243" s="582" t="s">
        <v>480</v>
      </c>
      <c r="Q243" s="582" t="s">
        <v>480</v>
      </c>
      <c r="R243" s="582" t="s">
        <v>480</v>
      </c>
      <c r="S243" s="582" t="s">
        <v>480</v>
      </c>
      <c r="T243" s="650" t="s">
        <v>480</v>
      </c>
      <c r="U243" s="650"/>
      <c r="V243" s="650" t="s">
        <v>480</v>
      </c>
      <c r="W243" s="650"/>
    </row>
    <row r="244" spans="1:23" ht="13.5" customHeight="1">
      <c r="A244" s="648"/>
      <c r="B244" s="648"/>
      <c r="C244" s="577"/>
      <c r="D244" s="577" t="s">
        <v>486</v>
      </c>
      <c r="E244" s="651" t="s">
        <v>487</v>
      </c>
      <c r="F244" s="651"/>
      <c r="G244" s="650" t="s">
        <v>683</v>
      </c>
      <c r="H244" s="650"/>
      <c r="I244" s="582" t="s">
        <v>683</v>
      </c>
      <c r="J244" s="582" t="s">
        <v>683</v>
      </c>
      <c r="K244" s="582" t="s">
        <v>480</v>
      </c>
      <c r="L244" s="582" t="s">
        <v>683</v>
      </c>
      <c r="M244" s="582" t="s">
        <v>480</v>
      </c>
      <c r="N244" s="582" t="s">
        <v>480</v>
      </c>
      <c r="O244" s="582" t="s">
        <v>480</v>
      </c>
      <c r="P244" s="582" t="s">
        <v>480</v>
      </c>
      <c r="Q244" s="582" t="s">
        <v>480</v>
      </c>
      <c r="R244" s="582" t="s">
        <v>480</v>
      </c>
      <c r="S244" s="582" t="s">
        <v>480</v>
      </c>
      <c r="T244" s="650" t="s">
        <v>480</v>
      </c>
      <c r="U244" s="650"/>
      <c r="V244" s="650" t="s">
        <v>480</v>
      </c>
      <c r="W244" s="650"/>
    </row>
    <row r="245" spans="1:23" ht="13.5" customHeight="1">
      <c r="A245" s="648"/>
      <c r="B245" s="648"/>
      <c r="C245" s="577" t="s">
        <v>851</v>
      </c>
      <c r="D245" s="577"/>
      <c r="E245" s="651" t="s">
        <v>138</v>
      </c>
      <c r="F245" s="651"/>
      <c r="G245" s="650" t="s">
        <v>568</v>
      </c>
      <c r="H245" s="650"/>
      <c r="I245" s="582" t="s">
        <v>568</v>
      </c>
      <c r="J245" s="582" t="s">
        <v>568</v>
      </c>
      <c r="K245" s="582" t="s">
        <v>852</v>
      </c>
      <c r="L245" s="582" t="s">
        <v>853</v>
      </c>
      <c r="M245" s="582" t="s">
        <v>480</v>
      </c>
      <c r="N245" s="582" t="s">
        <v>480</v>
      </c>
      <c r="O245" s="582" t="s">
        <v>480</v>
      </c>
      <c r="P245" s="582" t="s">
        <v>480</v>
      </c>
      <c r="Q245" s="582" t="s">
        <v>480</v>
      </c>
      <c r="R245" s="582" t="s">
        <v>480</v>
      </c>
      <c r="S245" s="582" t="s">
        <v>480</v>
      </c>
      <c r="T245" s="650" t="s">
        <v>480</v>
      </c>
      <c r="U245" s="650"/>
      <c r="V245" s="650" t="s">
        <v>480</v>
      </c>
      <c r="W245" s="650"/>
    </row>
    <row r="246" spans="1:23" ht="13.5" customHeight="1">
      <c r="A246" s="648"/>
      <c r="B246" s="648"/>
      <c r="C246" s="577"/>
      <c r="D246" s="577" t="s">
        <v>608</v>
      </c>
      <c r="E246" s="651" t="s">
        <v>609</v>
      </c>
      <c r="F246" s="651"/>
      <c r="G246" s="650" t="s">
        <v>854</v>
      </c>
      <c r="H246" s="650"/>
      <c r="I246" s="582" t="s">
        <v>854</v>
      </c>
      <c r="J246" s="582" t="s">
        <v>854</v>
      </c>
      <c r="K246" s="582" t="s">
        <v>854</v>
      </c>
      <c r="L246" s="582" t="s">
        <v>480</v>
      </c>
      <c r="M246" s="582" t="s">
        <v>480</v>
      </c>
      <c r="N246" s="582" t="s">
        <v>480</v>
      </c>
      <c r="O246" s="582" t="s">
        <v>480</v>
      </c>
      <c r="P246" s="582" t="s">
        <v>480</v>
      </c>
      <c r="Q246" s="582" t="s">
        <v>480</v>
      </c>
      <c r="R246" s="582" t="s">
        <v>480</v>
      </c>
      <c r="S246" s="582" t="s">
        <v>480</v>
      </c>
      <c r="T246" s="650" t="s">
        <v>480</v>
      </c>
      <c r="U246" s="650"/>
      <c r="V246" s="650" t="s">
        <v>480</v>
      </c>
      <c r="W246" s="650"/>
    </row>
    <row r="247" spans="1:23" ht="13.5" customHeight="1">
      <c r="A247" s="648"/>
      <c r="B247" s="648"/>
      <c r="C247" s="577"/>
      <c r="D247" s="577" t="s">
        <v>611</v>
      </c>
      <c r="E247" s="651" t="s">
        <v>612</v>
      </c>
      <c r="F247" s="651"/>
      <c r="G247" s="650" t="s">
        <v>855</v>
      </c>
      <c r="H247" s="650"/>
      <c r="I247" s="582" t="s">
        <v>855</v>
      </c>
      <c r="J247" s="582" t="s">
        <v>855</v>
      </c>
      <c r="K247" s="582" t="s">
        <v>855</v>
      </c>
      <c r="L247" s="582" t="s">
        <v>480</v>
      </c>
      <c r="M247" s="582" t="s">
        <v>480</v>
      </c>
      <c r="N247" s="582" t="s">
        <v>480</v>
      </c>
      <c r="O247" s="582" t="s">
        <v>480</v>
      </c>
      <c r="P247" s="582" t="s">
        <v>480</v>
      </c>
      <c r="Q247" s="582" t="s">
        <v>480</v>
      </c>
      <c r="R247" s="582" t="s">
        <v>480</v>
      </c>
      <c r="S247" s="582" t="s">
        <v>480</v>
      </c>
      <c r="T247" s="650" t="s">
        <v>480</v>
      </c>
      <c r="U247" s="650"/>
      <c r="V247" s="650" t="s">
        <v>480</v>
      </c>
      <c r="W247" s="650"/>
    </row>
    <row r="248" spans="1:23" ht="13.5" customHeight="1">
      <c r="A248" s="648"/>
      <c r="B248" s="648"/>
      <c r="C248" s="577"/>
      <c r="D248" s="577" t="s">
        <v>543</v>
      </c>
      <c r="E248" s="651" t="s">
        <v>544</v>
      </c>
      <c r="F248" s="651"/>
      <c r="G248" s="650" t="s">
        <v>856</v>
      </c>
      <c r="H248" s="650"/>
      <c r="I248" s="582" t="s">
        <v>856</v>
      </c>
      <c r="J248" s="582" t="s">
        <v>856</v>
      </c>
      <c r="K248" s="582" t="s">
        <v>856</v>
      </c>
      <c r="L248" s="582" t="s">
        <v>480</v>
      </c>
      <c r="M248" s="582" t="s">
        <v>480</v>
      </c>
      <c r="N248" s="582" t="s">
        <v>480</v>
      </c>
      <c r="O248" s="582" t="s">
        <v>480</v>
      </c>
      <c r="P248" s="582" t="s">
        <v>480</v>
      </c>
      <c r="Q248" s="582" t="s">
        <v>480</v>
      </c>
      <c r="R248" s="582" t="s">
        <v>480</v>
      </c>
      <c r="S248" s="582" t="s">
        <v>480</v>
      </c>
      <c r="T248" s="650" t="s">
        <v>480</v>
      </c>
      <c r="U248" s="650"/>
      <c r="V248" s="650" t="s">
        <v>480</v>
      </c>
      <c r="W248" s="650"/>
    </row>
    <row r="249" spans="1:23" ht="13.5" customHeight="1">
      <c r="A249" s="648"/>
      <c r="B249" s="648"/>
      <c r="C249" s="577"/>
      <c r="D249" s="577" t="s">
        <v>483</v>
      </c>
      <c r="E249" s="651" t="s">
        <v>484</v>
      </c>
      <c r="F249" s="651"/>
      <c r="G249" s="650" t="s">
        <v>857</v>
      </c>
      <c r="H249" s="650"/>
      <c r="I249" s="582" t="s">
        <v>857</v>
      </c>
      <c r="J249" s="582" t="s">
        <v>857</v>
      </c>
      <c r="K249" s="582" t="s">
        <v>480</v>
      </c>
      <c r="L249" s="582" t="s">
        <v>857</v>
      </c>
      <c r="M249" s="582" t="s">
        <v>480</v>
      </c>
      <c r="N249" s="582" t="s">
        <v>480</v>
      </c>
      <c r="O249" s="582" t="s">
        <v>480</v>
      </c>
      <c r="P249" s="582" t="s">
        <v>480</v>
      </c>
      <c r="Q249" s="582" t="s">
        <v>480</v>
      </c>
      <c r="R249" s="582" t="s">
        <v>480</v>
      </c>
      <c r="S249" s="582" t="s">
        <v>480</v>
      </c>
      <c r="T249" s="650" t="s">
        <v>480</v>
      </c>
      <c r="U249" s="650"/>
      <c r="V249" s="650" t="s">
        <v>480</v>
      </c>
      <c r="W249" s="650"/>
    </row>
    <row r="250" spans="1:23" ht="13.5" customHeight="1">
      <c r="A250" s="648"/>
      <c r="B250" s="648"/>
      <c r="C250" s="577"/>
      <c r="D250" s="577" t="s">
        <v>486</v>
      </c>
      <c r="E250" s="651" t="s">
        <v>487</v>
      </c>
      <c r="F250" s="651"/>
      <c r="G250" s="650" t="s">
        <v>648</v>
      </c>
      <c r="H250" s="650"/>
      <c r="I250" s="582" t="s">
        <v>648</v>
      </c>
      <c r="J250" s="582" t="s">
        <v>648</v>
      </c>
      <c r="K250" s="582" t="s">
        <v>480</v>
      </c>
      <c r="L250" s="582" t="s">
        <v>648</v>
      </c>
      <c r="M250" s="582" t="s">
        <v>480</v>
      </c>
      <c r="N250" s="582" t="s">
        <v>480</v>
      </c>
      <c r="O250" s="582" t="s">
        <v>480</v>
      </c>
      <c r="P250" s="582" t="s">
        <v>480</v>
      </c>
      <c r="Q250" s="582" t="s">
        <v>480</v>
      </c>
      <c r="R250" s="582" t="s">
        <v>480</v>
      </c>
      <c r="S250" s="582" t="s">
        <v>480</v>
      </c>
      <c r="T250" s="650" t="s">
        <v>480</v>
      </c>
      <c r="U250" s="650"/>
      <c r="V250" s="650" t="s">
        <v>480</v>
      </c>
      <c r="W250" s="650"/>
    </row>
    <row r="251" spans="1:23" ht="13.5" customHeight="1">
      <c r="A251" s="648"/>
      <c r="B251" s="648"/>
      <c r="C251" s="577"/>
      <c r="D251" s="577" t="s">
        <v>588</v>
      </c>
      <c r="E251" s="651" t="s">
        <v>589</v>
      </c>
      <c r="F251" s="651"/>
      <c r="G251" s="650" t="s">
        <v>858</v>
      </c>
      <c r="H251" s="650"/>
      <c r="I251" s="582" t="s">
        <v>858</v>
      </c>
      <c r="J251" s="582" t="s">
        <v>858</v>
      </c>
      <c r="K251" s="582" t="s">
        <v>480</v>
      </c>
      <c r="L251" s="582" t="s">
        <v>858</v>
      </c>
      <c r="M251" s="582" t="s">
        <v>480</v>
      </c>
      <c r="N251" s="582" t="s">
        <v>480</v>
      </c>
      <c r="O251" s="582" t="s">
        <v>480</v>
      </c>
      <c r="P251" s="582" t="s">
        <v>480</v>
      </c>
      <c r="Q251" s="582" t="s">
        <v>480</v>
      </c>
      <c r="R251" s="582" t="s">
        <v>480</v>
      </c>
      <c r="S251" s="582" t="s">
        <v>480</v>
      </c>
      <c r="T251" s="650" t="s">
        <v>480</v>
      </c>
      <c r="U251" s="650"/>
      <c r="V251" s="650" t="s">
        <v>480</v>
      </c>
      <c r="W251" s="650"/>
    </row>
    <row r="252" spans="1:23" ht="13.5" customHeight="1">
      <c r="A252" s="648"/>
      <c r="B252" s="648"/>
      <c r="C252" s="577"/>
      <c r="D252" s="577" t="s">
        <v>494</v>
      </c>
      <c r="E252" s="651" t="s">
        <v>495</v>
      </c>
      <c r="F252" s="651"/>
      <c r="G252" s="650" t="s">
        <v>859</v>
      </c>
      <c r="H252" s="650"/>
      <c r="I252" s="582" t="s">
        <v>859</v>
      </c>
      <c r="J252" s="582" t="s">
        <v>859</v>
      </c>
      <c r="K252" s="582" t="s">
        <v>480</v>
      </c>
      <c r="L252" s="582" t="s">
        <v>859</v>
      </c>
      <c r="M252" s="582" t="s">
        <v>480</v>
      </c>
      <c r="N252" s="582" t="s">
        <v>480</v>
      </c>
      <c r="O252" s="582" t="s">
        <v>480</v>
      </c>
      <c r="P252" s="582" t="s">
        <v>480</v>
      </c>
      <c r="Q252" s="582" t="s">
        <v>480</v>
      </c>
      <c r="R252" s="582" t="s">
        <v>480</v>
      </c>
      <c r="S252" s="582" t="s">
        <v>480</v>
      </c>
      <c r="T252" s="650" t="s">
        <v>480</v>
      </c>
      <c r="U252" s="650"/>
      <c r="V252" s="650" t="s">
        <v>480</v>
      </c>
      <c r="W252" s="650"/>
    </row>
    <row r="253" spans="1:23" ht="17.25" customHeight="1">
      <c r="A253" s="648"/>
      <c r="B253" s="648"/>
      <c r="C253" s="577"/>
      <c r="D253" s="577" t="s">
        <v>590</v>
      </c>
      <c r="E253" s="651" t="s">
        <v>591</v>
      </c>
      <c r="F253" s="651"/>
      <c r="G253" s="650" t="s">
        <v>488</v>
      </c>
      <c r="H253" s="650"/>
      <c r="I253" s="582" t="s">
        <v>488</v>
      </c>
      <c r="J253" s="582" t="s">
        <v>488</v>
      </c>
      <c r="K253" s="582" t="s">
        <v>480</v>
      </c>
      <c r="L253" s="582" t="s">
        <v>488</v>
      </c>
      <c r="M253" s="582" t="s">
        <v>480</v>
      </c>
      <c r="N253" s="582" t="s">
        <v>480</v>
      </c>
      <c r="O253" s="582" t="s">
        <v>480</v>
      </c>
      <c r="P253" s="582" t="s">
        <v>480</v>
      </c>
      <c r="Q253" s="582" t="s">
        <v>480</v>
      </c>
      <c r="R253" s="582" t="s">
        <v>480</v>
      </c>
      <c r="S253" s="582" t="s">
        <v>480</v>
      </c>
      <c r="T253" s="650" t="s">
        <v>480</v>
      </c>
      <c r="U253" s="650"/>
      <c r="V253" s="650" t="s">
        <v>480</v>
      </c>
      <c r="W253" s="650"/>
    </row>
    <row r="254" spans="1:23" ht="13.5" customHeight="1">
      <c r="A254" s="648"/>
      <c r="B254" s="648"/>
      <c r="C254" s="577" t="s">
        <v>860</v>
      </c>
      <c r="D254" s="577"/>
      <c r="E254" s="651" t="s">
        <v>139</v>
      </c>
      <c r="F254" s="651"/>
      <c r="G254" s="650" t="s">
        <v>861</v>
      </c>
      <c r="H254" s="650"/>
      <c r="I254" s="582" t="s">
        <v>861</v>
      </c>
      <c r="J254" s="582" t="s">
        <v>861</v>
      </c>
      <c r="K254" s="582" t="s">
        <v>862</v>
      </c>
      <c r="L254" s="582" t="s">
        <v>863</v>
      </c>
      <c r="M254" s="582" t="s">
        <v>480</v>
      </c>
      <c r="N254" s="582" t="s">
        <v>480</v>
      </c>
      <c r="O254" s="582" t="s">
        <v>480</v>
      </c>
      <c r="P254" s="582" t="s">
        <v>480</v>
      </c>
      <c r="Q254" s="582" t="s">
        <v>480</v>
      </c>
      <c r="R254" s="582" t="s">
        <v>480</v>
      </c>
      <c r="S254" s="582" t="s">
        <v>480</v>
      </c>
      <c r="T254" s="650" t="s">
        <v>480</v>
      </c>
      <c r="U254" s="650"/>
      <c r="V254" s="650" t="s">
        <v>480</v>
      </c>
      <c r="W254" s="650"/>
    </row>
    <row r="255" spans="1:23" ht="13.5" customHeight="1">
      <c r="A255" s="648"/>
      <c r="B255" s="648"/>
      <c r="C255" s="577"/>
      <c r="D255" s="577" t="s">
        <v>608</v>
      </c>
      <c r="E255" s="651" t="s">
        <v>609</v>
      </c>
      <c r="F255" s="651"/>
      <c r="G255" s="650" t="s">
        <v>797</v>
      </c>
      <c r="H255" s="650"/>
      <c r="I255" s="582" t="s">
        <v>797</v>
      </c>
      <c r="J255" s="582" t="s">
        <v>797</v>
      </c>
      <c r="K255" s="582" t="s">
        <v>797</v>
      </c>
      <c r="L255" s="582" t="s">
        <v>480</v>
      </c>
      <c r="M255" s="582" t="s">
        <v>480</v>
      </c>
      <c r="N255" s="582" t="s">
        <v>480</v>
      </c>
      <c r="O255" s="582" t="s">
        <v>480</v>
      </c>
      <c r="P255" s="582" t="s">
        <v>480</v>
      </c>
      <c r="Q255" s="582" t="s">
        <v>480</v>
      </c>
      <c r="R255" s="582" t="s">
        <v>480</v>
      </c>
      <c r="S255" s="582" t="s">
        <v>480</v>
      </c>
      <c r="T255" s="650" t="s">
        <v>480</v>
      </c>
      <c r="U255" s="650"/>
      <c r="V255" s="650" t="s">
        <v>480</v>
      </c>
      <c r="W255" s="650"/>
    </row>
    <row r="256" spans="1:23" ht="13.5" customHeight="1">
      <c r="A256" s="648"/>
      <c r="B256" s="648"/>
      <c r="C256" s="577"/>
      <c r="D256" s="577" t="s">
        <v>611</v>
      </c>
      <c r="E256" s="651" t="s">
        <v>612</v>
      </c>
      <c r="F256" s="651"/>
      <c r="G256" s="650" t="s">
        <v>648</v>
      </c>
      <c r="H256" s="650"/>
      <c r="I256" s="582" t="s">
        <v>648</v>
      </c>
      <c r="J256" s="582" t="s">
        <v>648</v>
      </c>
      <c r="K256" s="582" t="s">
        <v>648</v>
      </c>
      <c r="L256" s="582" t="s">
        <v>480</v>
      </c>
      <c r="M256" s="582" t="s">
        <v>480</v>
      </c>
      <c r="N256" s="582" t="s">
        <v>480</v>
      </c>
      <c r="O256" s="582" t="s">
        <v>480</v>
      </c>
      <c r="P256" s="582" t="s">
        <v>480</v>
      </c>
      <c r="Q256" s="582" t="s">
        <v>480</v>
      </c>
      <c r="R256" s="582" t="s">
        <v>480</v>
      </c>
      <c r="S256" s="582" t="s">
        <v>480</v>
      </c>
      <c r="T256" s="650" t="s">
        <v>480</v>
      </c>
      <c r="U256" s="650"/>
      <c r="V256" s="650" t="s">
        <v>480</v>
      </c>
      <c r="W256" s="650"/>
    </row>
    <row r="257" spans="1:23" ht="13.5" customHeight="1">
      <c r="A257" s="648"/>
      <c r="B257" s="648"/>
      <c r="C257" s="577"/>
      <c r="D257" s="577" t="s">
        <v>543</v>
      </c>
      <c r="E257" s="651" t="s">
        <v>544</v>
      </c>
      <c r="F257" s="651"/>
      <c r="G257" s="650" t="s">
        <v>864</v>
      </c>
      <c r="H257" s="650"/>
      <c r="I257" s="582" t="s">
        <v>864</v>
      </c>
      <c r="J257" s="582" t="s">
        <v>864</v>
      </c>
      <c r="K257" s="582" t="s">
        <v>864</v>
      </c>
      <c r="L257" s="582" t="s">
        <v>480</v>
      </c>
      <c r="M257" s="582" t="s">
        <v>480</v>
      </c>
      <c r="N257" s="582" t="s">
        <v>480</v>
      </c>
      <c r="O257" s="582" t="s">
        <v>480</v>
      </c>
      <c r="P257" s="582" t="s">
        <v>480</v>
      </c>
      <c r="Q257" s="582" t="s">
        <v>480</v>
      </c>
      <c r="R257" s="582" t="s">
        <v>480</v>
      </c>
      <c r="S257" s="582" t="s">
        <v>480</v>
      </c>
      <c r="T257" s="650" t="s">
        <v>480</v>
      </c>
      <c r="U257" s="650"/>
      <c r="V257" s="650" t="s">
        <v>480</v>
      </c>
      <c r="W257" s="650"/>
    </row>
    <row r="258" spans="1:23" ht="13.5" customHeight="1">
      <c r="A258" s="648"/>
      <c r="B258" s="648"/>
      <c r="C258" s="577"/>
      <c r="D258" s="577" t="s">
        <v>483</v>
      </c>
      <c r="E258" s="651" t="s">
        <v>484</v>
      </c>
      <c r="F258" s="651"/>
      <c r="G258" s="650" t="s">
        <v>865</v>
      </c>
      <c r="H258" s="650"/>
      <c r="I258" s="582" t="s">
        <v>865</v>
      </c>
      <c r="J258" s="582" t="s">
        <v>865</v>
      </c>
      <c r="K258" s="582" t="s">
        <v>480</v>
      </c>
      <c r="L258" s="582" t="s">
        <v>865</v>
      </c>
      <c r="M258" s="582" t="s">
        <v>480</v>
      </c>
      <c r="N258" s="582" t="s">
        <v>480</v>
      </c>
      <c r="O258" s="582" t="s">
        <v>480</v>
      </c>
      <c r="P258" s="582" t="s">
        <v>480</v>
      </c>
      <c r="Q258" s="582" t="s">
        <v>480</v>
      </c>
      <c r="R258" s="582" t="s">
        <v>480</v>
      </c>
      <c r="S258" s="582" t="s">
        <v>480</v>
      </c>
      <c r="T258" s="650" t="s">
        <v>480</v>
      </c>
      <c r="U258" s="650"/>
      <c r="V258" s="650" t="s">
        <v>480</v>
      </c>
      <c r="W258" s="650"/>
    </row>
    <row r="259" spans="1:23" ht="13.5" customHeight="1">
      <c r="A259" s="648"/>
      <c r="B259" s="648"/>
      <c r="C259" s="577"/>
      <c r="D259" s="577" t="s">
        <v>558</v>
      </c>
      <c r="E259" s="651" t="s">
        <v>559</v>
      </c>
      <c r="F259" s="651"/>
      <c r="G259" s="650" t="s">
        <v>521</v>
      </c>
      <c r="H259" s="650"/>
      <c r="I259" s="582" t="s">
        <v>521</v>
      </c>
      <c r="J259" s="582" t="s">
        <v>521</v>
      </c>
      <c r="K259" s="582" t="s">
        <v>480</v>
      </c>
      <c r="L259" s="582" t="s">
        <v>521</v>
      </c>
      <c r="M259" s="582" t="s">
        <v>480</v>
      </c>
      <c r="N259" s="582" t="s">
        <v>480</v>
      </c>
      <c r="O259" s="582" t="s">
        <v>480</v>
      </c>
      <c r="P259" s="582" t="s">
        <v>480</v>
      </c>
      <c r="Q259" s="582" t="s">
        <v>480</v>
      </c>
      <c r="R259" s="582" t="s">
        <v>480</v>
      </c>
      <c r="S259" s="582" t="s">
        <v>480</v>
      </c>
      <c r="T259" s="650" t="s">
        <v>480</v>
      </c>
      <c r="U259" s="650"/>
      <c r="V259" s="650" t="s">
        <v>480</v>
      </c>
      <c r="W259" s="650"/>
    </row>
    <row r="260" spans="1:23" ht="13.5" customHeight="1">
      <c r="A260" s="648"/>
      <c r="B260" s="648"/>
      <c r="C260" s="577"/>
      <c r="D260" s="577" t="s">
        <v>486</v>
      </c>
      <c r="E260" s="651" t="s">
        <v>487</v>
      </c>
      <c r="F260" s="651"/>
      <c r="G260" s="650" t="s">
        <v>866</v>
      </c>
      <c r="H260" s="650"/>
      <c r="I260" s="582" t="s">
        <v>866</v>
      </c>
      <c r="J260" s="582" t="s">
        <v>866</v>
      </c>
      <c r="K260" s="582" t="s">
        <v>480</v>
      </c>
      <c r="L260" s="582" t="s">
        <v>866</v>
      </c>
      <c r="M260" s="582" t="s">
        <v>480</v>
      </c>
      <c r="N260" s="582" t="s">
        <v>480</v>
      </c>
      <c r="O260" s="582" t="s">
        <v>480</v>
      </c>
      <c r="P260" s="582" t="s">
        <v>480</v>
      </c>
      <c r="Q260" s="582" t="s">
        <v>480</v>
      </c>
      <c r="R260" s="582" t="s">
        <v>480</v>
      </c>
      <c r="S260" s="582" t="s">
        <v>480</v>
      </c>
      <c r="T260" s="650" t="s">
        <v>480</v>
      </c>
      <c r="U260" s="650"/>
      <c r="V260" s="650" t="s">
        <v>480</v>
      </c>
      <c r="W260" s="650"/>
    </row>
    <row r="261" spans="1:23" ht="24" customHeight="1">
      <c r="A261" s="648"/>
      <c r="B261" s="648"/>
      <c r="C261" s="577"/>
      <c r="D261" s="577" t="s">
        <v>628</v>
      </c>
      <c r="E261" s="651" t="s">
        <v>629</v>
      </c>
      <c r="F261" s="651"/>
      <c r="G261" s="650" t="s">
        <v>814</v>
      </c>
      <c r="H261" s="650"/>
      <c r="I261" s="582" t="s">
        <v>814</v>
      </c>
      <c r="J261" s="582" t="s">
        <v>814</v>
      </c>
      <c r="K261" s="582" t="s">
        <v>480</v>
      </c>
      <c r="L261" s="582" t="s">
        <v>814</v>
      </c>
      <c r="M261" s="582" t="s">
        <v>480</v>
      </c>
      <c r="N261" s="582" t="s">
        <v>480</v>
      </c>
      <c r="O261" s="582" t="s">
        <v>480</v>
      </c>
      <c r="P261" s="582" t="s">
        <v>480</v>
      </c>
      <c r="Q261" s="582" t="s">
        <v>480</v>
      </c>
      <c r="R261" s="582" t="s">
        <v>480</v>
      </c>
      <c r="S261" s="582" t="s">
        <v>480</v>
      </c>
      <c r="T261" s="650" t="s">
        <v>480</v>
      </c>
      <c r="U261" s="650"/>
      <c r="V261" s="650" t="s">
        <v>480</v>
      </c>
      <c r="W261" s="650"/>
    </row>
    <row r="262" spans="1:23" ht="17.25" customHeight="1">
      <c r="A262" s="648"/>
      <c r="B262" s="648"/>
      <c r="C262" s="577"/>
      <c r="D262" s="577" t="s">
        <v>634</v>
      </c>
      <c r="E262" s="651" t="s">
        <v>635</v>
      </c>
      <c r="F262" s="651"/>
      <c r="G262" s="650" t="s">
        <v>488</v>
      </c>
      <c r="H262" s="650"/>
      <c r="I262" s="582" t="s">
        <v>488</v>
      </c>
      <c r="J262" s="582" t="s">
        <v>488</v>
      </c>
      <c r="K262" s="582" t="s">
        <v>480</v>
      </c>
      <c r="L262" s="582" t="s">
        <v>488</v>
      </c>
      <c r="M262" s="582" t="s">
        <v>480</v>
      </c>
      <c r="N262" s="582" t="s">
        <v>480</v>
      </c>
      <c r="O262" s="582" t="s">
        <v>480</v>
      </c>
      <c r="P262" s="582" t="s">
        <v>480</v>
      </c>
      <c r="Q262" s="582" t="s">
        <v>480</v>
      </c>
      <c r="R262" s="582" t="s">
        <v>480</v>
      </c>
      <c r="S262" s="582" t="s">
        <v>480</v>
      </c>
      <c r="T262" s="650" t="s">
        <v>480</v>
      </c>
      <c r="U262" s="650"/>
      <c r="V262" s="650" t="s">
        <v>480</v>
      </c>
      <c r="W262" s="650"/>
    </row>
    <row r="263" spans="1:23" ht="13.5" customHeight="1">
      <c r="A263" s="648"/>
      <c r="B263" s="648"/>
      <c r="C263" s="577"/>
      <c r="D263" s="577" t="s">
        <v>588</v>
      </c>
      <c r="E263" s="651" t="s">
        <v>589</v>
      </c>
      <c r="F263" s="651"/>
      <c r="G263" s="650" t="s">
        <v>592</v>
      </c>
      <c r="H263" s="650"/>
      <c r="I263" s="582" t="s">
        <v>592</v>
      </c>
      <c r="J263" s="582" t="s">
        <v>592</v>
      </c>
      <c r="K263" s="582" t="s">
        <v>480</v>
      </c>
      <c r="L263" s="582" t="s">
        <v>592</v>
      </c>
      <c r="M263" s="582" t="s">
        <v>480</v>
      </c>
      <c r="N263" s="582" t="s">
        <v>480</v>
      </c>
      <c r="O263" s="582" t="s">
        <v>480</v>
      </c>
      <c r="P263" s="582" t="s">
        <v>480</v>
      </c>
      <c r="Q263" s="582" t="s">
        <v>480</v>
      </c>
      <c r="R263" s="582" t="s">
        <v>480</v>
      </c>
      <c r="S263" s="582" t="s">
        <v>480</v>
      </c>
      <c r="T263" s="650" t="s">
        <v>480</v>
      </c>
      <c r="U263" s="650"/>
      <c r="V263" s="650" t="s">
        <v>480</v>
      </c>
      <c r="W263" s="650"/>
    </row>
    <row r="264" spans="1:23" ht="13.5" customHeight="1">
      <c r="A264" s="648"/>
      <c r="B264" s="648"/>
      <c r="C264" s="577"/>
      <c r="D264" s="577" t="s">
        <v>494</v>
      </c>
      <c r="E264" s="651" t="s">
        <v>495</v>
      </c>
      <c r="F264" s="651"/>
      <c r="G264" s="650" t="s">
        <v>672</v>
      </c>
      <c r="H264" s="650"/>
      <c r="I264" s="582" t="s">
        <v>672</v>
      </c>
      <c r="J264" s="582" t="s">
        <v>672</v>
      </c>
      <c r="K264" s="582" t="s">
        <v>480</v>
      </c>
      <c r="L264" s="582" t="s">
        <v>672</v>
      </c>
      <c r="M264" s="582" t="s">
        <v>480</v>
      </c>
      <c r="N264" s="582" t="s">
        <v>480</v>
      </c>
      <c r="O264" s="582" t="s">
        <v>480</v>
      </c>
      <c r="P264" s="582" t="s">
        <v>480</v>
      </c>
      <c r="Q264" s="582" t="s">
        <v>480</v>
      </c>
      <c r="R264" s="582" t="s">
        <v>480</v>
      </c>
      <c r="S264" s="582" t="s">
        <v>480</v>
      </c>
      <c r="T264" s="650" t="s">
        <v>480</v>
      </c>
      <c r="U264" s="650"/>
      <c r="V264" s="650" t="s">
        <v>480</v>
      </c>
      <c r="W264" s="650"/>
    </row>
    <row r="265" spans="1:23" ht="17.25" customHeight="1">
      <c r="A265" s="648"/>
      <c r="B265" s="648"/>
      <c r="C265" s="577"/>
      <c r="D265" s="577" t="s">
        <v>590</v>
      </c>
      <c r="E265" s="651" t="s">
        <v>591</v>
      </c>
      <c r="F265" s="651"/>
      <c r="G265" s="650" t="s">
        <v>867</v>
      </c>
      <c r="H265" s="650"/>
      <c r="I265" s="582" t="s">
        <v>867</v>
      </c>
      <c r="J265" s="582" t="s">
        <v>867</v>
      </c>
      <c r="K265" s="582" t="s">
        <v>480</v>
      </c>
      <c r="L265" s="582" t="s">
        <v>867</v>
      </c>
      <c r="M265" s="582" t="s">
        <v>480</v>
      </c>
      <c r="N265" s="582" t="s">
        <v>480</v>
      </c>
      <c r="O265" s="582" t="s">
        <v>480</v>
      </c>
      <c r="P265" s="582" t="s">
        <v>480</v>
      </c>
      <c r="Q265" s="582" t="s">
        <v>480</v>
      </c>
      <c r="R265" s="582" t="s">
        <v>480</v>
      </c>
      <c r="S265" s="582" t="s">
        <v>480</v>
      </c>
      <c r="T265" s="650" t="s">
        <v>480</v>
      </c>
      <c r="U265" s="650"/>
      <c r="V265" s="650" t="s">
        <v>480</v>
      </c>
      <c r="W265" s="650"/>
    </row>
    <row r="266" spans="1:23" ht="13.5" customHeight="1">
      <c r="A266" s="648" t="s">
        <v>868</v>
      </c>
      <c r="B266" s="648"/>
      <c r="C266" s="577"/>
      <c r="D266" s="577"/>
      <c r="E266" s="651" t="s">
        <v>869</v>
      </c>
      <c r="F266" s="651"/>
      <c r="G266" s="650" t="s">
        <v>870</v>
      </c>
      <c r="H266" s="650"/>
      <c r="I266" s="582" t="s">
        <v>870</v>
      </c>
      <c r="J266" s="582" t="s">
        <v>871</v>
      </c>
      <c r="K266" s="582" t="s">
        <v>872</v>
      </c>
      <c r="L266" s="582" t="s">
        <v>873</v>
      </c>
      <c r="M266" s="582" t="s">
        <v>480</v>
      </c>
      <c r="N266" s="582" t="s">
        <v>874</v>
      </c>
      <c r="O266" s="582" t="s">
        <v>480</v>
      </c>
      <c r="P266" s="582" t="s">
        <v>480</v>
      </c>
      <c r="Q266" s="582" t="s">
        <v>480</v>
      </c>
      <c r="R266" s="582" t="s">
        <v>480</v>
      </c>
      <c r="S266" s="582" t="s">
        <v>480</v>
      </c>
      <c r="T266" s="650" t="s">
        <v>480</v>
      </c>
      <c r="U266" s="650"/>
      <c r="V266" s="650" t="s">
        <v>480</v>
      </c>
      <c r="W266" s="650"/>
    </row>
    <row r="267" spans="1:23" ht="13.5" customHeight="1">
      <c r="A267" s="648"/>
      <c r="B267" s="648"/>
      <c r="C267" s="577" t="s">
        <v>875</v>
      </c>
      <c r="D267" s="577"/>
      <c r="E267" s="651" t="s">
        <v>876</v>
      </c>
      <c r="F267" s="651"/>
      <c r="G267" s="650" t="s">
        <v>877</v>
      </c>
      <c r="H267" s="650"/>
      <c r="I267" s="582" t="s">
        <v>877</v>
      </c>
      <c r="J267" s="582" t="s">
        <v>877</v>
      </c>
      <c r="K267" s="582" t="s">
        <v>480</v>
      </c>
      <c r="L267" s="582" t="s">
        <v>877</v>
      </c>
      <c r="M267" s="582" t="s">
        <v>480</v>
      </c>
      <c r="N267" s="582" t="s">
        <v>480</v>
      </c>
      <c r="O267" s="582" t="s">
        <v>480</v>
      </c>
      <c r="P267" s="582" t="s">
        <v>480</v>
      </c>
      <c r="Q267" s="582" t="s">
        <v>480</v>
      </c>
      <c r="R267" s="582" t="s">
        <v>480</v>
      </c>
      <c r="S267" s="582" t="s">
        <v>480</v>
      </c>
      <c r="T267" s="650" t="s">
        <v>480</v>
      </c>
      <c r="U267" s="650"/>
      <c r="V267" s="650" t="s">
        <v>480</v>
      </c>
      <c r="W267" s="650"/>
    </row>
    <row r="268" spans="1:23" ht="24" customHeight="1">
      <c r="A268" s="648"/>
      <c r="B268" s="648"/>
      <c r="C268" s="577"/>
      <c r="D268" s="577" t="s">
        <v>878</v>
      </c>
      <c r="E268" s="651" t="s">
        <v>879</v>
      </c>
      <c r="F268" s="651"/>
      <c r="G268" s="650" t="s">
        <v>877</v>
      </c>
      <c r="H268" s="650"/>
      <c r="I268" s="582" t="s">
        <v>877</v>
      </c>
      <c r="J268" s="582" t="s">
        <v>877</v>
      </c>
      <c r="K268" s="582" t="s">
        <v>480</v>
      </c>
      <c r="L268" s="582" t="s">
        <v>877</v>
      </c>
      <c r="M268" s="582" t="s">
        <v>480</v>
      </c>
      <c r="N268" s="582" t="s">
        <v>480</v>
      </c>
      <c r="O268" s="582" t="s">
        <v>480</v>
      </c>
      <c r="P268" s="582" t="s">
        <v>480</v>
      </c>
      <c r="Q268" s="582" t="s">
        <v>480</v>
      </c>
      <c r="R268" s="582" t="s">
        <v>480</v>
      </c>
      <c r="S268" s="582" t="s">
        <v>480</v>
      </c>
      <c r="T268" s="650" t="s">
        <v>480</v>
      </c>
      <c r="U268" s="650"/>
      <c r="V268" s="650" t="s">
        <v>480</v>
      </c>
      <c r="W268" s="650"/>
    </row>
    <row r="269" spans="1:23" ht="42" customHeight="1">
      <c r="A269" s="648"/>
      <c r="B269" s="648"/>
      <c r="C269" s="577" t="s">
        <v>880</v>
      </c>
      <c r="D269" s="577"/>
      <c r="E269" s="651" t="s">
        <v>881</v>
      </c>
      <c r="F269" s="651"/>
      <c r="G269" s="650" t="s">
        <v>882</v>
      </c>
      <c r="H269" s="650"/>
      <c r="I269" s="582" t="s">
        <v>882</v>
      </c>
      <c r="J269" s="582" t="s">
        <v>882</v>
      </c>
      <c r="K269" s="582" t="s">
        <v>882</v>
      </c>
      <c r="L269" s="582" t="s">
        <v>480</v>
      </c>
      <c r="M269" s="582" t="s">
        <v>480</v>
      </c>
      <c r="N269" s="582" t="s">
        <v>480</v>
      </c>
      <c r="O269" s="582" t="s">
        <v>480</v>
      </c>
      <c r="P269" s="582" t="s">
        <v>480</v>
      </c>
      <c r="Q269" s="582" t="s">
        <v>480</v>
      </c>
      <c r="R269" s="582" t="s">
        <v>480</v>
      </c>
      <c r="S269" s="582" t="s">
        <v>480</v>
      </c>
      <c r="T269" s="650" t="s">
        <v>480</v>
      </c>
      <c r="U269" s="650"/>
      <c r="V269" s="650" t="s">
        <v>480</v>
      </c>
      <c r="W269" s="650"/>
    </row>
    <row r="270" spans="1:23" ht="13.5" customHeight="1">
      <c r="A270" s="648"/>
      <c r="B270" s="648"/>
      <c r="C270" s="577"/>
      <c r="D270" s="577" t="s">
        <v>883</v>
      </c>
      <c r="E270" s="651" t="s">
        <v>884</v>
      </c>
      <c r="F270" s="651"/>
      <c r="G270" s="650" t="s">
        <v>882</v>
      </c>
      <c r="H270" s="650"/>
      <c r="I270" s="582" t="s">
        <v>882</v>
      </c>
      <c r="J270" s="582" t="s">
        <v>882</v>
      </c>
      <c r="K270" s="582" t="s">
        <v>882</v>
      </c>
      <c r="L270" s="582" t="s">
        <v>480</v>
      </c>
      <c r="M270" s="582" t="s">
        <v>480</v>
      </c>
      <c r="N270" s="582" t="s">
        <v>480</v>
      </c>
      <c r="O270" s="582" t="s">
        <v>480</v>
      </c>
      <c r="P270" s="582" t="s">
        <v>480</v>
      </c>
      <c r="Q270" s="582" t="s">
        <v>480</v>
      </c>
      <c r="R270" s="582" t="s">
        <v>480</v>
      </c>
      <c r="S270" s="582" t="s">
        <v>480</v>
      </c>
      <c r="T270" s="650" t="s">
        <v>480</v>
      </c>
      <c r="U270" s="650"/>
      <c r="V270" s="650" t="s">
        <v>480</v>
      </c>
      <c r="W270" s="650"/>
    </row>
    <row r="271" spans="1:23" ht="17.25" customHeight="1">
      <c r="A271" s="648"/>
      <c r="B271" s="648"/>
      <c r="C271" s="577" t="s">
        <v>885</v>
      </c>
      <c r="D271" s="577"/>
      <c r="E271" s="651" t="s">
        <v>886</v>
      </c>
      <c r="F271" s="651"/>
      <c r="G271" s="650" t="s">
        <v>887</v>
      </c>
      <c r="H271" s="650"/>
      <c r="I271" s="582" t="s">
        <v>887</v>
      </c>
      <c r="J271" s="582" t="s">
        <v>801</v>
      </c>
      <c r="K271" s="582" t="s">
        <v>480</v>
      </c>
      <c r="L271" s="582" t="s">
        <v>801</v>
      </c>
      <c r="M271" s="582" t="s">
        <v>480</v>
      </c>
      <c r="N271" s="582" t="s">
        <v>888</v>
      </c>
      <c r="O271" s="582" t="s">
        <v>480</v>
      </c>
      <c r="P271" s="582" t="s">
        <v>480</v>
      </c>
      <c r="Q271" s="582" t="s">
        <v>480</v>
      </c>
      <c r="R271" s="582" t="s">
        <v>480</v>
      </c>
      <c r="S271" s="582" t="s">
        <v>480</v>
      </c>
      <c r="T271" s="650" t="s">
        <v>480</v>
      </c>
      <c r="U271" s="650"/>
      <c r="V271" s="650" t="s">
        <v>480</v>
      </c>
      <c r="W271" s="650"/>
    </row>
    <row r="272" spans="1:23" ht="13.5" customHeight="1">
      <c r="A272" s="648"/>
      <c r="B272" s="648"/>
      <c r="C272" s="577"/>
      <c r="D272" s="577" t="s">
        <v>889</v>
      </c>
      <c r="E272" s="651" t="s">
        <v>890</v>
      </c>
      <c r="F272" s="651"/>
      <c r="G272" s="650" t="s">
        <v>888</v>
      </c>
      <c r="H272" s="650"/>
      <c r="I272" s="582" t="s">
        <v>888</v>
      </c>
      <c r="J272" s="582" t="s">
        <v>480</v>
      </c>
      <c r="K272" s="582" t="s">
        <v>480</v>
      </c>
      <c r="L272" s="582" t="s">
        <v>480</v>
      </c>
      <c r="M272" s="582" t="s">
        <v>480</v>
      </c>
      <c r="N272" s="582" t="s">
        <v>888</v>
      </c>
      <c r="O272" s="582" t="s">
        <v>480</v>
      </c>
      <c r="P272" s="582" t="s">
        <v>480</v>
      </c>
      <c r="Q272" s="582" t="s">
        <v>480</v>
      </c>
      <c r="R272" s="582" t="s">
        <v>480</v>
      </c>
      <c r="S272" s="582" t="s">
        <v>480</v>
      </c>
      <c r="T272" s="650" t="s">
        <v>480</v>
      </c>
      <c r="U272" s="650"/>
      <c r="V272" s="650" t="s">
        <v>480</v>
      </c>
      <c r="W272" s="650"/>
    </row>
    <row r="273" spans="1:23" ht="13.5" customHeight="1">
      <c r="A273" s="648"/>
      <c r="B273" s="648"/>
      <c r="C273" s="577"/>
      <c r="D273" s="577" t="s">
        <v>486</v>
      </c>
      <c r="E273" s="651" t="s">
        <v>487</v>
      </c>
      <c r="F273" s="651"/>
      <c r="G273" s="650" t="s">
        <v>801</v>
      </c>
      <c r="H273" s="650"/>
      <c r="I273" s="582" t="s">
        <v>801</v>
      </c>
      <c r="J273" s="582" t="s">
        <v>801</v>
      </c>
      <c r="K273" s="582" t="s">
        <v>480</v>
      </c>
      <c r="L273" s="582" t="s">
        <v>801</v>
      </c>
      <c r="M273" s="582" t="s">
        <v>480</v>
      </c>
      <c r="N273" s="582" t="s">
        <v>480</v>
      </c>
      <c r="O273" s="582" t="s">
        <v>480</v>
      </c>
      <c r="P273" s="582" t="s">
        <v>480</v>
      </c>
      <c r="Q273" s="582" t="s">
        <v>480</v>
      </c>
      <c r="R273" s="582" t="s">
        <v>480</v>
      </c>
      <c r="S273" s="582" t="s">
        <v>480</v>
      </c>
      <c r="T273" s="650" t="s">
        <v>480</v>
      </c>
      <c r="U273" s="650"/>
      <c r="V273" s="650" t="s">
        <v>480</v>
      </c>
      <c r="W273" s="650"/>
    </row>
    <row r="274" spans="1:23" ht="13.5" customHeight="1">
      <c r="A274" s="648"/>
      <c r="B274" s="648"/>
      <c r="C274" s="577" t="s">
        <v>891</v>
      </c>
      <c r="D274" s="577"/>
      <c r="E274" s="651" t="s">
        <v>161</v>
      </c>
      <c r="F274" s="651"/>
      <c r="G274" s="650" t="s">
        <v>892</v>
      </c>
      <c r="H274" s="650"/>
      <c r="I274" s="582" t="s">
        <v>892</v>
      </c>
      <c r="J274" s="582" t="s">
        <v>480</v>
      </c>
      <c r="K274" s="582" t="s">
        <v>480</v>
      </c>
      <c r="L274" s="582" t="s">
        <v>480</v>
      </c>
      <c r="M274" s="582" t="s">
        <v>480</v>
      </c>
      <c r="N274" s="582" t="s">
        <v>892</v>
      </c>
      <c r="O274" s="582" t="s">
        <v>480</v>
      </c>
      <c r="P274" s="582" t="s">
        <v>480</v>
      </c>
      <c r="Q274" s="582" t="s">
        <v>480</v>
      </c>
      <c r="R274" s="582" t="s">
        <v>480</v>
      </c>
      <c r="S274" s="582" t="s">
        <v>480</v>
      </c>
      <c r="T274" s="650" t="s">
        <v>480</v>
      </c>
      <c r="U274" s="650"/>
      <c r="V274" s="650" t="s">
        <v>480</v>
      </c>
      <c r="W274" s="650"/>
    </row>
    <row r="275" spans="1:23" ht="13.5" customHeight="1">
      <c r="A275" s="648"/>
      <c r="B275" s="648"/>
      <c r="C275" s="577"/>
      <c r="D275" s="577" t="s">
        <v>889</v>
      </c>
      <c r="E275" s="651" t="s">
        <v>890</v>
      </c>
      <c r="F275" s="651"/>
      <c r="G275" s="650" t="s">
        <v>892</v>
      </c>
      <c r="H275" s="650"/>
      <c r="I275" s="582" t="s">
        <v>892</v>
      </c>
      <c r="J275" s="582" t="s">
        <v>480</v>
      </c>
      <c r="K275" s="582" t="s">
        <v>480</v>
      </c>
      <c r="L275" s="582" t="s">
        <v>480</v>
      </c>
      <c r="M275" s="582" t="s">
        <v>480</v>
      </c>
      <c r="N275" s="582" t="s">
        <v>892</v>
      </c>
      <c r="O275" s="582" t="s">
        <v>480</v>
      </c>
      <c r="P275" s="582" t="s">
        <v>480</v>
      </c>
      <c r="Q275" s="582" t="s">
        <v>480</v>
      </c>
      <c r="R275" s="582" t="s">
        <v>480</v>
      </c>
      <c r="S275" s="582" t="s">
        <v>480</v>
      </c>
      <c r="T275" s="650" t="s">
        <v>480</v>
      </c>
      <c r="U275" s="650"/>
      <c r="V275" s="650" t="s">
        <v>480</v>
      </c>
      <c r="W275" s="650"/>
    </row>
    <row r="276" spans="1:23" ht="13.5" customHeight="1">
      <c r="A276" s="648"/>
      <c r="B276" s="648"/>
      <c r="C276" s="577" t="s">
        <v>893</v>
      </c>
      <c r="D276" s="577"/>
      <c r="E276" s="651" t="s">
        <v>295</v>
      </c>
      <c r="F276" s="651"/>
      <c r="G276" s="650" t="s">
        <v>894</v>
      </c>
      <c r="H276" s="650"/>
      <c r="I276" s="582" t="s">
        <v>894</v>
      </c>
      <c r="J276" s="582" t="s">
        <v>480</v>
      </c>
      <c r="K276" s="582" t="s">
        <v>480</v>
      </c>
      <c r="L276" s="582" t="s">
        <v>480</v>
      </c>
      <c r="M276" s="582" t="s">
        <v>480</v>
      </c>
      <c r="N276" s="582" t="s">
        <v>894</v>
      </c>
      <c r="O276" s="582" t="s">
        <v>480</v>
      </c>
      <c r="P276" s="582" t="s">
        <v>480</v>
      </c>
      <c r="Q276" s="582" t="s">
        <v>480</v>
      </c>
      <c r="R276" s="582" t="s">
        <v>480</v>
      </c>
      <c r="S276" s="582" t="s">
        <v>480</v>
      </c>
      <c r="T276" s="650" t="s">
        <v>480</v>
      </c>
      <c r="U276" s="650"/>
      <c r="V276" s="650" t="s">
        <v>480</v>
      </c>
      <c r="W276" s="650"/>
    </row>
    <row r="277" spans="1:23" ht="13.5" customHeight="1">
      <c r="A277" s="648"/>
      <c r="B277" s="648"/>
      <c r="C277" s="577"/>
      <c r="D277" s="577" t="s">
        <v>889</v>
      </c>
      <c r="E277" s="651" t="s">
        <v>890</v>
      </c>
      <c r="F277" s="651"/>
      <c r="G277" s="650" t="s">
        <v>894</v>
      </c>
      <c r="H277" s="650"/>
      <c r="I277" s="582" t="s">
        <v>894</v>
      </c>
      <c r="J277" s="582" t="s">
        <v>480</v>
      </c>
      <c r="K277" s="582" t="s">
        <v>480</v>
      </c>
      <c r="L277" s="582" t="s">
        <v>480</v>
      </c>
      <c r="M277" s="582" t="s">
        <v>480</v>
      </c>
      <c r="N277" s="582" t="s">
        <v>894</v>
      </c>
      <c r="O277" s="582" t="s">
        <v>480</v>
      </c>
      <c r="P277" s="582" t="s">
        <v>480</v>
      </c>
      <c r="Q277" s="582" t="s">
        <v>480</v>
      </c>
      <c r="R277" s="582" t="s">
        <v>480</v>
      </c>
      <c r="S277" s="582" t="s">
        <v>480</v>
      </c>
      <c r="T277" s="650" t="s">
        <v>480</v>
      </c>
      <c r="U277" s="650"/>
      <c r="V277" s="650" t="s">
        <v>480</v>
      </c>
      <c r="W277" s="650"/>
    </row>
    <row r="278" spans="1:23" ht="13.5" customHeight="1">
      <c r="A278" s="648"/>
      <c r="B278" s="648"/>
      <c r="C278" s="577" t="s">
        <v>895</v>
      </c>
      <c r="D278" s="577"/>
      <c r="E278" s="651" t="s">
        <v>896</v>
      </c>
      <c r="F278" s="651"/>
      <c r="G278" s="650" t="s">
        <v>897</v>
      </c>
      <c r="H278" s="650"/>
      <c r="I278" s="582" t="s">
        <v>897</v>
      </c>
      <c r="J278" s="582" t="s">
        <v>898</v>
      </c>
      <c r="K278" s="582" t="s">
        <v>899</v>
      </c>
      <c r="L278" s="582" t="s">
        <v>900</v>
      </c>
      <c r="M278" s="582" t="s">
        <v>480</v>
      </c>
      <c r="N278" s="582" t="s">
        <v>531</v>
      </c>
      <c r="O278" s="582" t="s">
        <v>480</v>
      </c>
      <c r="P278" s="582" t="s">
        <v>480</v>
      </c>
      <c r="Q278" s="582" t="s">
        <v>480</v>
      </c>
      <c r="R278" s="582" t="s">
        <v>480</v>
      </c>
      <c r="S278" s="582" t="s">
        <v>480</v>
      </c>
      <c r="T278" s="650" t="s">
        <v>480</v>
      </c>
      <c r="U278" s="650"/>
      <c r="V278" s="650" t="s">
        <v>480</v>
      </c>
      <c r="W278" s="650"/>
    </row>
    <row r="279" spans="1:23" ht="13.5" customHeight="1">
      <c r="A279" s="648"/>
      <c r="B279" s="648"/>
      <c r="C279" s="577"/>
      <c r="D279" s="577" t="s">
        <v>600</v>
      </c>
      <c r="E279" s="651" t="s">
        <v>601</v>
      </c>
      <c r="F279" s="651"/>
      <c r="G279" s="650" t="s">
        <v>633</v>
      </c>
      <c r="H279" s="650"/>
      <c r="I279" s="582" t="s">
        <v>633</v>
      </c>
      <c r="J279" s="582" t="s">
        <v>480</v>
      </c>
      <c r="K279" s="582" t="s">
        <v>480</v>
      </c>
      <c r="L279" s="582" t="s">
        <v>480</v>
      </c>
      <c r="M279" s="582" t="s">
        <v>480</v>
      </c>
      <c r="N279" s="582" t="s">
        <v>633</v>
      </c>
      <c r="O279" s="582" t="s">
        <v>480</v>
      </c>
      <c r="P279" s="582" t="s">
        <v>480</v>
      </c>
      <c r="Q279" s="582" t="s">
        <v>480</v>
      </c>
      <c r="R279" s="582" t="s">
        <v>480</v>
      </c>
      <c r="S279" s="582" t="s">
        <v>480</v>
      </c>
      <c r="T279" s="650" t="s">
        <v>480</v>
      </c>
      <c r="U279" s="650"/>
      <c r="V279" s="650" t="s">
        <v>480</v>
      </c>
      <c r="W279" s="650"/>
    </row>
    <row r="280" spans="1:23" ht="13.5" customHeight="1">
      <c r="A280" s="648"/>
      <c r="B280" s="648"/>
      <c r="C280" s="577"/>
      <c r="D280" s="577" t="s">
        <v>889</v>
      </c>
      <c r="E280" s="651" t="s">
        <v>890</v>
      </c>
      <c r="F280" s="651"/>
      <c r="G280" s="650" t="s">
        <v>498</v>
      </c>
      <c r="H280" s="650"/>
      <c r="I280" s="582" t="s">
        <v>498</v>
      </c>
      <c r="J280" s="582" t="s">
        <v>480</v>
      </c>
      <c r="K280" s="582" t="s">
        <v>480</v>
      </c>
      <c r="L280" s="582" t="s">
        <v>480</v>
      </c>
      <c r="M280" s="582" t="s">
        <v>480</v>
      </c>
      <c r="N280" s="582" t="s">
        <v>498</v>
      </c>
      <c r="O280" s="582" t="s">
        <v>480</v>
      </c>
      <c r="P280" s="582" t="s">
        <v>480</v>
      </c>
      <c r="Q280" s="582" t="s">
        <v>480</v>
      </c>
      <c r="R280" s="582" t="s">
        <v>480</v>
      </c>
      <c r="S280" s="582" t="s">
        <v>480</v>
      </c>
      <c r="T280" s="650" t="s">
        <v>480</v>
      </c>
      <c r="U280" s="650"/>
      <c r="V280" s="650" t="s">
        <v>480</v>
      </c>
      <c r="W280" s="650"/>
    </row>
    <row r="281" spans="1:23" ht="13.5" customHeight="1">
      <c r="A281" s="648"/>
      <c r="B281" s="648"/>
      <c r="C281" s="577"/>
      <c r="D281" s="577" t="s">
        <v>602</v>
      </c>
      <c r="E281" s="651" t="s">
        <v>603</v>
      </c>
      <c r="F281" s="651"/>
      <c r="G281" s="650" t="s">
        <v>901</v>
      </c>
      <c r="H281" s="650"/>
      <c r="I281" s="582" t="s">
        <v>901</v>
      </c>
      <c r="J281" s="582" t="s">
        <v>901</v>
      </c>
      <c r="K281" s="582" t="s">
        <v>901</v>
      </c>
      <c r="L281" s="582" t="s">
        <v>480</v>
      </c>
      <c r="M281" s="582" t="s">
        <v>480</v>
      </c>
      <c r="N281" s="582" t="s">
        <v>480</v>
      </c>
      <c r="O281" s="582" t="s">
        <v>480</v>
      </c>
      <c r="P281" s="582" t="s">
        <v>480</v>
      </c>
      <c r="Q281" s="582" t="s">
        <v>480</v>
      </c>
      <c r="R281" s="582" t="s">
        <v>480</v>
      </c>
      <c r="S281" s="582" t="s">
        <v>480</v>
      </c>
      <c r="T281" s="650" t="s">
        <v>480</v>
      </c>
      <c r="U281" s="650"/>
      <c r="V281" s="650" t="s">
        <v>480</v>
      </c>
      <c r="W281" s="650"/>
    </row>
    <row r="282" spans="1:23" ht="13.5" customHeight="1">
      <c r="A282" s="648"/>
      <c r="B282" s="648"/>
      <c r="C282" s="577"/>
      <c r="D282" s="577" t="s">
        <v>605</v>
      </c>
      <c r="E282" s="651" t="s">
        <v>606</v>
      </c>
      <c r="F282" s="651"/>
      <c r="G282" s="650" t="s">
        <v>902</v>
      </c>
      <c r="H282" s="650"/>
      <c r="I282" s="582" t="s">
        <v>902</v>
      </c>
      <c r="J282" s="582" t="s">
        <v>902</v>
      </c>
      <c r="K282" s="582" t="s">
        <v>902</v>
      </c>
      <c r="L282" s="582" t="s">
        <v>480</v>
      </c>
      <c r="M282" s="582" t="s">
        <v>480</v>
      </c>
      <c r="N282" s="582" t="s">
        <v>480</v>
      </c>
      <c r="O282" s="582" t="s">
        <v>480</v>
      </c>
      <c r="P282" s="582" t="s">
        <v>480</v>
      </c>
      <c r="Q282" s="582" t="s">
        <v>480</v>
      </c>
      <c r="R282" s="582" t="s">
        <v>480</v>
      </c>
      <c r="S282" s="582" t="s">
        <v>480</v>
      </c>
      <c r="T282" s="650" t="s">
        <v>480</v>
      </c>
      <c r="U282" s="650"/>
      <c r="V282" s="650" t="s">
        <v>480</v>
      </c>
      <c r="W282" s="650"/>
    </row>
    <row r="283" spans="1:23" ht="13.5" customHeight="1">
      <c r="A283" s="648"/>
      <c r="B283" s="648"/>
      <c r="C283" s="577"/>
      <c r="D283" s="577" t="s">
        <v>608</v>
      </c>
      <c r="E283" s="651" t="s">
        <v>609</v>
      </c>
      <c r="F283" s="651"/>
      <c r="G283" s="650" t="s">
        <v>903</v>
      </c>
      <c r="H283" s="650"/>
      <c r="I283" s="582" t="s">
        <v>903</v>
      </c>
      <c r="J283" s="582" t="s">
        <v>903</v>
      </c>
      <c r="K283" s="582" t="s">
        <v>903</v>
      </c>
      <c r="L283" s="582" t="s">
        <v>480</v>
      </c>
      <c r="M283" s="582" t="s">
        <v>480</v>
      </c>
      <c r="N283" s="582" t="s">
        <v>480</v>
      </c>
      <c r="O283" s="582" t="s">
        <v>480</v>
      </c>
      <c r="P283" s="582" t="s">
        <v>480</v>
      </c>
      <c r="Q283" s="582" t="s">
        <v>480</v>
      </c>
      <c r="R283" s="582" t="s">
        <v>480</v>
      </c>
      <c r="S283" s="582" t="s">
        <v>480</v>
      </c>
      <c r="T283" s="650" t="s">
        <v>480</v>
      </c>
      <c r="U283" s="650"/>
      <c r="V283" s="650" t="s">
        <v>480</v>
      </c>
      <c r="W283" s="650"/>
    </row>
    <row r="284" spans="1:23" ht="13.5" customHeight="1">
      <c r="A284" s="648"/>
      <c r="B284" s="648"/>
      <c r="C284" s="577"/>
      <c r="D284" s="577" t="s">
        <v>611</v>
      </c>
      <c r="E284" s="651" t="s">
        <v>612</v>
      </c>
      <c r="F284" s="651"/>
      <c r="G284" s="650" t="s">
        <v>904</v>
      </c>
      <c r="H284" s="650"/>
      <c r="I284" s="582" t="s">
        <v>904</v>
      </c>
      <c r="J284" s="582" t="s">
        <v>904</v>
      </c>
      <c r="K284" s="582" t="s">
        <v>904</v>
      </c>
      <c r="L284" s="582" t="s">
        <v>480</v>
      </c>
      <c r="M284" s="582" t="s">
        <v>480</v>
      </c>
      <c r="N284" s="582" t="s">
        <v>480</v>
      </c>
      <c r="O284" s="582" t="s">
        <v>480</v>
      </c>
      <c r="P284" s="582" t="s">
        <v>480</v>
      </c>
      <c r="Q284" s="582" t="s">
        <v>480</v>
      </c>
      <c r="R284" s="582" t="s">
        <v>480</v>
      </c>
      <c r="S284" s="582" t="s">
        <v>480</v>
      </c>
      <c r="T284" s="650" t="s">
        <v>480</v>
      </c>
      <c r="U284" s="650"/>
      <c r="V284" s="650" t="s">
        <v>480</v>
      </c>
      <c r="W284" s="650"/>
    </row>
    <row r="285" spans="1:23" ht="13.5" customHeight="1">
      <c r="A285" s="648"/>
      <c r="B285" s="648"/>
      <c r="C285" s="577"/>
      <c r="D285" s="577" t="s">
        <v>543</v>
      </c>
      <c r="E285" s="651" t="s">
        <v>544</v>
      </c>
      <c r="F285" s="651"/>
      <c r="G285" s="650" t="s">
        <v>905</v>
      </c>
      <c r="H285" s="650"/>
      <c r="I285" s="582" t="s">
        <v>905</v>
      </c>
      <c r="J285" s="582" t="s">
        <v>905</v>
      </c>
      <c r="K285" s="582" t="s">
        <v>905</v>
      </c>
      <c r="L285" s="582" t="s">
        <v>480</v>
      </c>
      <c r="M285" s="582" t="s">
        <v>480</v>
      </c>
      <c r="N285" s="582" t="s">
        <v>480</v>
      </c>
      <c r="O285" s="582" t="s">
        <v>480</v>
      </c>
      <c r="P285" s="582" t="s">
        <v>480</v>
      </c>
      <c r="Q285" s="582" t="s">
        <v>480</v>
      </c>
      <c r="R285" s="582" t="s">
        <v>480</v>
      </c>
      <c r="S285" s="582" t="s">
        <v>480</v>
      </c>
      <c r="T285" s="650" t="s">
        <v>480</v>
      </c>
      <c r="U285" s="650"/>
      <c r="V285" s="650" t="s">
        <v>480</v>
      </c>
      <c r="W285" s="650"/>
    </row>
    <row r="286" spans="1:23" ht="13.5" customHeight="1">
      <c r="A286" s="648"/>
      <c r="B286" s="648"/>
      <c r="C286" s="577"/>
      <c r="D286" s="577" t="s">
        <v>483</v>
      </c>
      <c r="E286" s="651" t="s">
        <v>484</v>
      </c>
      <c r="F286" s="651"/>
      <c r="G286" s="650" t="s">
        <v>906</v>
      </c>
      <c r="H286" s="650"/>
      <c r="I286" s="582" t="s">
        <v>906</v>
      </c>
      <c r="J286" s="582" t="s">
        <v>906</v>
      </c>
      <c r="K286" s="582" t="s">
        <v>480</v>
      </c>
      <c r="L286" s="582" t="s">
        <v>906</v>
      </c>
      <c r="M286" s="582" t="s">
        <v>480</v>
      </c>
      <c r="N286" s="582" t="s">
        <v>480</v>
      </c>
      <c r="O286" s="582" t="s">
        <v>480</v>
      </c>
      <c r="P286" s="582" t="s">
        <v>480</v>
      </c>
      <c r="Q286" s="582" t="s">
        <v>480</v>
      </c>
      <c r="R286" s="582" t="s">
        <v>480</v>
      </c>
      <c r="S286" s="582" t="s">
        <v>480</v>
      </c>
      <c r="T286" s="650" t="s">
        <v>480</v>
      </c>
      <c r="U286" s="650"/>
      <c r="V286" s="650" t="s">
        <v>480</v>
      </c>
      <c r="W286" s="650"/>
    </row>
    <row r="287" spans="1:23" ht="13.5" customHeight="1">
      <c r="A287" s="648"/>
      <c r="B287" s="648"/>
      <c r="C287" s="577"/>
      <c r="D287" s="577" t="s">
        <v>558</v>
      </c>
      <c r="E287" s="651" t="s">
        <v>559</v>
      </c>
      <c r="F287" s="651"/>
      <c r="G287" s="650" t="s">
        <v>907</v>
      </c>
      <c r="H287" s="650"/>
      <c r="I287" s="582" t="s">
        <v>907</v>
      </c>
      <c r="J287" s="582" t="s">
        <v>907</v>
      </c>
      <c r="K287" s="582" t="s">
        <v>480</v>
      </c>
      <c r="L287" s="582" t="s">
        <v>907</v>
      </c>
      <c r="M287" s="582" t="s">
        <v>480</v>
      </c>
      <c r="N287" s="582" t="s">
        <v>480</v>
      </c>
      <c r="O287" s="582" t="s">
        <v>480</v>
      </c>
      <c r="P287" s="582" t="s">
        <v>480</v>
      </c>
      <c r="Q287" s="582" t="s">
        <v>480</v>
      </c>
      <c r="R287" s="582" t="s">
        <v>480</v>
      </c>
      <c r="S287" s="582" t="s">
        <v>480</v>
      </c>
      <c r="T287" s="650" t="s">
        <v>480</v>
      </c>
      <c r="U287" s="650"/>
      <c r="V287" s="650" t="s">
        <v>480</v>
      </c>
      <c r="W287" s="650"/>
    </row>
    <row r="288" spans="1:23" ht="13.5" customHeight="1">
      <c r="A288" s="648"/>
      <c r="B288" s="648"/>
      <c r="C288" s="577"/>
      <c r="D288" s="577" t="s">
        <v>517</v>
      </c>
      <c r="E288" s="651" t="s">
        <v>518</v>
      </c>
      <c r="F288" s="651"/>
      <c r="G288" s="650" t="s">
        <v>648</v>
      </c>
      <c r="H288" s="650"/>
      <c r="I288" s="582" t="s">
        <v>648</v>
      </c>
      <c r="J288" s="582" t="s">
        <v>648</v>
      </c>
      <c r="K288" s="582" t="s">
        <v>480</v>
      </c>
      <c r="L288" s="582" t="s">
        <v>648</v>
      </c>
      <c r="M288" s="582" t="s">
        <v>480</v>
      </c>
      <c r="N288" s="582" t="s">
        <v>480</v>
      </c>
      <c r="O288" s="582" t="s">
        <v>480</v>
      </c>
      <c r="P288" s="582" t="s">
        <v>480</v>
      </c>
      <c r="Q288" s="582" t="s">
        <v>480</v>
      </c>
      <c r="R288" s="582" t="s">
        <v>480</v>
      </c>
      <c r="S288" s="582" t="s">
        <v>480</v>
      </c>
      <c r="T288" s="650" t="s">
        <v>480</v>
      </c>
      <c r="U288" s="650"/>
      <c r="V288" s="650" t="s">
        <v>480</v>
      </c>
      <c r="W288" s="650"/>
    </row>
    <row r="289" spans="1:23" ht="13.5" customHeight="1">
      <c r="A289" s="648"/>
      <c r="B289" s="648"/>
      <c r="C289" s="577"/>
      <c r="D289" s="577" t="s">
        <v>621</v>
      </c>
      <c r="E289" s="651" t="s">
        <v>622</v>
      </c>
      <c r="F289" s="651"/>
      <c r="G289" s="650" t="s">
        <v>858</v>
      </c>
      <c r="H289" s="650"/>
      <c r="I289" s="582" t="s">
        <v>858</v>
      </c>
      <c r="J289" s="582" t="s">
        <v>858</v>
      </c>
      <c r="K289" s="582" t="s">
        <v>480</v>
      </c>
      <c r="L289" s="582" t="s">
        <v>858</v>
      </c>
      <c r="M289" s="582" t="s">
        <v>480</v>
      </c>
      <c r="N289" s="582" t="s">
        <v>480</v>
      </c>
      <c r="O289" s="582" t="s">
        <v>480</v>
      </c>
      <c r="P289" s="582" t="s">
        <v>480</v>
      </c>
      <c r="Q289" s="582" t="s">
        <v>480</v>
      </c>
      <c r="R289" s="582" t="s">
        <v>480</v>
      </c>
      <c r="S289" s="582" t="s">
        <v>480</v>
      </c>
      <c r="T289" s="650" t="s">
        <v>480</v>
      </c>
      <c r="U289" s="650"/>
      <c r="V289" s="650" t="s">
        <v>480</v>
      </c>
      <c r="W289" s="650"/>
    </row>
    <row r="290" spans="1:23" ht="13.5" customHeight="1">
      <c r="A290" s="648"/>
      <c r="B290" s="648"/>
      <c r="C290" s="577"/>
      <c r="D290" s="577" t="s">
        <v>486</v>
      </c>
      <c r="E290" s="651" t="s">
        <v>487</v>
      </c>
      <c r="F290" s="651"/>
      <c r="G290" s="650" t="s">
        <v>908</v>
      </c>
      <c r="H290" s="650"/>
      <c r="I290" s="582" t="s">
        <v>908</v>
      </c>
      <c r="J290" s="582" t="s">
        <v>908</v>
      </c>
      <c r="K290" s="582" t="s">
        <v>480</v>
      </c>
      <c r="L290" s="582" t="s">
        <v>908</v>
      </c>
      <c r="M290" s="582" t="s">
        <v>480</v>
      </c>
      <c r="N290" s="582" t="s">
        <v>480</v>
      </c>
      <c r="O290" s="582" t="s">
        <v>480</v>
      </c>
      <c r="P290" s="582" t="s">
        <v>480</v>
      </c>
      <c r="Q290" s="582" t="s">
        <v>480</v>
      </c>
      <c r="R290" s="582" t="s">
        <v>480</v>
      </c>
      <c r="S290" s="582" t="s">
        <v>480</v>
      </c>
      <c r="T290" s="650" t="s">
        <v>480</v>
      </c>
      <c r="U290" s="650"/>
      <c r="V290" s="650" t="s">
        <v>480</v>
      </c>
      <c r="W290" s="650"/>
    </row>
    <row r="291" spans="1:23" ht="13.5" customHeight="1">
      <c r="A291" s="648"/>
      <c r="B291" s="648"/>
      <c r="C291" s="577"/>
      <c r="D291" s="577" t="s">
        <v>624</v>
      </c>
      <c r="E291" s="651" t="s">
        <v>625</v>
      </c>
      <c r="F291" s="651"/>
      <c r="G291" s="650" t="s">
        <v>909</v>
      </c>
      <c r="H291" s="650"/>
      <c r="I291" s="582" t="s">
        <v>909</v>
      </c>
      <c r="J291" s="582" t="s">
        <v>909</v>
      </c>
      <c r="K291" s="582" t="s">
        <v>480</v>
      </c>
      <c r="L291" s="582" t="s">
        <v>909</v>
      </c>
      <c r="M291" s="582" t="s">
        <v>480</v>
      </c>
      <c r="N291" s="582" t="s">
        <v>480</v>
      </c>
      <c r="O291" s="582" t="s">
        <v>480</v>
      </c>
      <c r="P291" s="582" t="s">
        <v>480</v>
      </c>
      <c r="Q291" s="582" t="s">
        <v>480</v>
      </c>
      <c r="R291" s="582" t="s">
        <v>480</v>
      </c>
      <c r="S291" s="582" t="s">
        <v>480</v>
      </c>
      <c r="T291" s="650" t="s">
        <v>480</v>
      </c>
      <c r="U291" s="650"/>
      <c r="V291" s="650" t="s">
        <v>480</v>
      </c>
      <c r="W291" s="650"/>
    </row>
    <row r="292" spans="1:23" ht="24" customHeight="1">
      <c r="A292" s="648"/>
      <c r="B292" s="648"/>
      <c r="C292" s="577"/>
      <c r="D292" s="577" t="s">
        <v>628</v>
      </c>
      <c r="E292" s="651" t="s">
        <v>629</v>
      </c>
      <c r="F292" s="651"/>
      <c r="G292" s="650" t="s">
        <v>910</v>
      </c>
      <c r="H292" s="650"/>
      <c r="I292" s="582" t="s">
        <v>910</v>
      </c>
      <c r="J292" s="582" t="s">
        <v>910</v>
      </c>
      <c r="K292" s="582" t="s">
        <v>480</v>
      </c>
      <c r="L292" s="582" t="s">
        <v>910</v>
      </c>
      <c r="M292" s="582" t="s">
        <v>480</v>
      </c>
      <c r="N292" s="582" t="s">
        <v>480</v>
      </c>
      <c r="O292" s="582" t="s">
        <v>480</v>
      </c>
      <c r="P292" s="582" t="s">
        <v>480</v>
      </c>
      <c r="Q292" s="582" t="s">
        <v>480</v>
      </c>
      <c r="R292" s="582" t="s">
        <v>480</v>
      </c>
      <c r="S292" s="582" t="s">
        <v>480</v>
      </c>
      <c r="T292" s="650" t="s">
        <v>480</v>
      </c>
      <c r="U292" s="650"/>
      <c r="V292" s="650" t="s">
        <v>480</v>
      </c>
      <c r="W292" s="650"/>
    </row>
    <row r="293" spans="1:23" ht="13.5" customHeight="1">
      <c r="A293" s="648"/>
      <c r="B293" s="648"/>
      <c r="C293" s="577"/>
      <c r="D293" s="577" t="s">
        <v>588</v>
      </c>
      <c r="E293" s="651" t="s">
        <v>589</v>
      </c>
      <c r="F293" s="651"/>
      <c r="G293" s="650" t="s">
        <v>738</v>
      </c>
      <c r="H293" s="650"/>
      <c r="I293" s="582" t="s">
        <v>738</v>
      </c>
      <c r="J293" s="582" t="s">
        <v>738</v>
      </c>
      <c r="K293" s="582" t="s">
        <v>480</v>
      </c>
      <c r="L293" s="582" t="s">
        <v>738</v>
      </c>
      <c r="M293" s="582" t="s">
        <v>480</v>
      </c>
      <c r="N293" s="582" t="s">
        <v>480</v>
      </c>
      <c r="O293" s="582" t="s">
        <v>480</v>
      </c>
      <c r="P293" s="582" t="s">
        <v>480</v>
      </c>
      <c r="Q293" s="582" t="s">
        <v>480</v>
      </c>
      <c r="R293" s="582" t="s">
        <v>480</v>
      </c>
      <c r="S293" s="582" t="s">
        <v>480</v>
      </c>
      <c r="T293" s="650" t="s">
        <v>480</v>
      </c>
      <c r="U293" s="650"/>
      <c r="V293" s="650" t="s">
        <v>480</v>
      </c>
      <c r="W293" s="650"/>
    </row>
    <row r="294" spans="1:23" ht="13.5" customHeight="1">
      <c r="A294" s="648"/>
      <c r="B294" s="648"/>
      <c r="C294" s="577"/>
      <c r="D294" s="577" t="s">
        <v>494</v>
      </c>
      <c r="E294" s="651" t="s">
        <v>495</v>
      </c>
      <c r="F294" s="651"/>
      <c r="G294" s="650" t="s">
        <v>911</v>
      </c>
      <c r="H294" s="650"/>
      <c r="I294" s="582" t="s">
        <v>911</v>
      </c>
      <c r="J294" s="582" t="s">
        <v>911</v>
      </c>
      <c r="K294" s="582" t="s">
        <v>480</v>
      </c>
      <c r="L294" s="582" t="s">
        <v>911</v>
      </c>
      <c r="M294" s="582" t="s">
        <v>480</v>
      </c>
      <c r="N294" s="582" t="s">
        <v>480</v>
      </c>
      <c r="O294" s="582" t="s">
        <v>480</v>
      </c>
      <c r="P294" s="582" t="s">
        <v>480</v>
      </c>
      <c r="Q294" s="582" t="s">
        <v>480</v>
      </c>
      <c r="R294" s="582" t="s">
        <v>480</v>
      </c>
      <c r="S294" s="582" t="s">
        <v>480</v>
      </c>
      <c r="T294" s="650" t="s">
        <v>480</v>
      </c>
      <c r="U294" s="650"/>
      <c r="V294" s="650" t="s">
        <v>480</v>
      </c>
      <c r="W294" s="650"/>
    </row>
    <row r="295" spans="1:23" ht="17.25" customHeight="1">
      <c r="A295" s="648"/>
      <c r="B295" s="648"/>
      <c r="C295" s="577"/>
      <c r="D295" s="577" t="s">
        <v>637</v>
      </c>
      <c r="E295" s="651" t="s">
        <v>638</v>
      </c>
      <c r="F295" s="651"/>
      <c r="G295" s="650" t="s">
        <v>743</v>
      </c>
      <c r="H295" s="650"/>
      <c r="I295" s="582" t="s">
        <v>743</v>
      </c>
      <c r="J295" s="582" t="s">
        <v>743</v>
      </c>
      <c r="K295" s="582" t="s">
        <v>480</v>
      </c>
      <c r="L295" s="582" t="s">
        <v>743</v>
      </c>
      <c r="M295" s="582" t="s">
        <v>480</v>
      </c>
      <c r="N295" s="582" t="s">
        <v>480</v>
      </c>
      <c r="O295" s="582" t="s">
        <v>480</v>
      </c>
      <c r="P295" s="582" t="s">
        <v>480</v>
      </c>
      <c r="Q295" s="582" t="s">
        <v>480</v>
      </c>
      <c r="R295" s="582" t="s">
        <v>480</v>
      </c>
      <c r="S295" s="582" t="s">
        <v>480</v>
      </c>
      <c r="T295" s="650" t="s">
        <v>480</v>
      </c>
      <c r="U295" s="650"/>
      <c r="V295" s="650" t="s">
        <v>480</v>
      </c>
      <c r="W295" s="650"/>
    </row>
    <row r="296" spans="1:23" ht="17.25" customHeight="1">
      <c r="A296" s="648"/>
      <c r="B296" s="648"/>
      <c r="C296" s="577"/>
      <c r="D296" s="577" t="s">
        <v>590</v>
      </c>
      <c r="E296" s="651" t="s">
        <v>591</v>
      </c>
      <c r="F296" s="651"/>
      <c r="G296" s="650" t="s">
        <v>648</v>
      </c>
      <c r="H296" s="650"/>
      <c r="I296" s="582" t="s">
        <v>648</v>
      </c>
      <c r="J296" s="582" t="s">
        <v>648</v>
      </c>
      <c r="K296" s="582" t="s">
        <v>480</v>
      </c>
      <c r="L296" s="582" t="s">
        <v>648</v>
      </c>
      <c r="M296" s="582" t="s">
        <v>480</v>
      </c>
      <c r="N296" s="582" t="s">
        <v>480</v>
      </c>
      <c r="O296" s="582" t="s">
        <v>480</v>
      </c>
      <c r="P296" s="582" t="s">
        <v>480</v>
      </c>
      <c r="Q296" s="582" t="s">
        <v>480</v>
      </c>
      <c r="R296" s="582" t="s">
        <v>480</v>
      </c>
      <c r="S296" s="582" t="s">
        <v>480</v>
      </c>
      <c r="T296" s="650" t="s">
        <v>480</v>
      </c>
      <c r="U296" s="650"/>
      <c r="V296" s="650" t="s">
        <v>480</v>
      </c>
      <c r="W296" s="650"/>
    </row>
    <row r="297" spans="1:23" ht="24" customHeight="1">
      <c r="A297" s="648"/>
      <c r="B297" s="648"/>
      <c r="C297" s="577" t="s">
        <v>912</v>
      </c>
      <c r="D297" s="577"/>
      <c r="E297" s="651" t="s">
        <v>913</v>
      </c>
      <c r="F297" s="651"/>
      <c r="G297" s="650" t="s">
        <v>914</v>
      </c>
      <c r="H297" s="650"/>
      <c r="I297" s="582" t="s">
        <v>914</v>
      </c>
      <c r="J297" s="582" t="s">
        <v>914</v>
      </c>
      <c r="K297" s="582" t="s">
        <v>480</v>
      </c>
      <c r="L297" s="582" t="s">
        <v>914</v>
      </c>
      <c r="M297" s="582" t="s">
        <v>480</v>
      </c>
      <c r="N297" s="582" t="s">
        <v>480</v>
      </c>
      <c r="O297" s="582" t="s">
        <v>480</v>
      </c>
      <c r="P297" s="582" t="s">
        <v>480</v>
      </c>
      <c r="Q297" s="582" t="s">
        <v>480</v>
      </c>
      <c r="R297" s="582" t="s">
        <v>480</v>
      </c>
      <c r="S297" s="582" t="s">
        <v>480</v>
      </c>
      <c r="T297" s="650" t="s">
        <v>480</v>
      </c>
      <c r="U297" s="650"/>
      <c r="V297" s="650" t="s">
        <v>480</v>
      </c>
      <c r="W297" s="650"/>
    </row>
    <row r="298" spans="1:23" ht="13.5" customHeight="1">
      <c r="A298" s="648"/>
      <c r="B298" s="648"/>
      <c r="C298" s="577"/>
      <c r="D298" s="577" t="s">
        <v>486</v>
      </c>
      <c r="E298" s="651" t="s">
        <v>487</v>
      </c>
      <c r="F298" s="651"/>
      <c r="G298" s="650" t="s">
        <v>914</v>
      </c>
      <c r="H298" s="650"/>
      <c r="I298" s="582" t="s">
        <v>914</v>
      </c>
      <c r="J298" s="582" t="s">
        <v>914</v>
      </c>
      <c r="K298" s="582" t="s">
        <v>480</v>
      </c>
      <c r="L298" s="582" t="s">
        <v>914</v>
      </c>
      <c r="M298" s="582" t="s">
        <v>480</v>
      </c>
      <c r="N298" s="582" t="s">
        <v>480</v>
      </c>
      <c r="O298" s="582" t="s">
        <v>480</v>
      </c>
      <c r="P298" s="582" t="s">
        <v>480</v>
      </c>
      <c r="Q298" s="582" t="s">
        <v>480</v>
      </c>
      <c r="R298" s="582" t="s">
        <v>480</v>
      </c>
      <c r="S298" s="582" t="s">
        <v>480</v>
      </c>
      <c r="T298" s="650" t="s">
        <v>480</v>
      </c>
      <c r="U298" s="650"/>
      <c r="V298" s="650" t="s">
        <v>480</v>
      </c>
      <c r="W298" s="650"/>
    </row>
    <row r="299" spans="1:23" ht="17.25" customHeight="1">
      <c r="A299" s="648"/>
      <c r="B299" s="648"/>
      <c r="C299" s="577" t="s">
        <v>915</v>
      </c>
      <c r="D299" s="577"/>
      <c r="E299" s="651" t="s">
        <v>916</v>
      </c>
      <c r="F299" s="651"/>
      <c r="G299" s="650" t="s">
        <v>917</v>
      </c>
      <c r="H299" s="650"/>
      <c r="I299" s="582" t="s">
        <v>917</v>
      </c>
      <c r="J299" s="582" t="s">
        <v>917</v>
      </c>
      <c r="K299" s="582" t="s">
        <v>480</v>
      </c>
      <c r="L299" s="582" t="s">
        <v>917</v>
      </c>
      <c r="M299" s="582" t="s">
        <v>480</v>
      </c>
      <c r="N299" s="582" t="s">
        <v>480</v>
      </c>
      <c r="O299" s="582" t="s">
        <v>480</v>
      </c>
      <c r="P299" s="582" t="s">
        <v>480</v>
      </c>
      <c r="Q299" s="582" t="s">
        <v>480</v>
      </c>
      <c r="R299" s="582" t="s">
        <v>480</v>
      </c>
      <c r="S299" s="582" t="s">
        <v>480</v>
      </c>
      <c r="T299" s="650" t="s">
        <v>480</v>
      </c>
      <c r="U299" s="650"/>
      <c r="V299" s="650" t="s">
        <v>480</v>
      </c>
      <c r="W299" s="650"/>
    </row>
    <row r="300" spans="1:23" ht="13.5" customHeight="1">
      <c r="A300" s="648"/>
      <c r="B300" s="648"/>
      <c r="C300" s="577"/>
      <c r="D300" s="577" t="s">
        <v>486</v>
      </c>
      <c r="E300" s="651" t="s">
        <v>487</v>
      </c>
      <c r="F300" s="651"/>
      <c r="G300" s="650" t="s">
        <v>917</v>
      </c>
      <c r="H300" s="650"/>
      <c r="I300" s="582" t="s">
        <v>917</v>
      </c>
      <c r="J300" s="582" t="s">
        <v>917</v>
      </c>
      <c r="K300" s="582" t="s">
        <v>480</v>
      </c>
      <c r="L300" s="582" t="s">
        <v>917</v>
      </c>
      <c r="M300" s="582" t="s">
        <v>480</v>
      </c>
      <c r="N300" s="582" t="s">
        <v>480</v>
      </c>
      <c r="O300" s="582" t="s">
        <v>480</v>
      </c>
      <c r="P300" s="582" t="s">
        <v>480</v>
      </c>
      <c r="Q300" s="582" t="s">
        <v>480</v>
      </c>
      <c r="R300" s="582" t="s">
        <v>480</v>
      </c>
      <c r="S300" s="582" t="s">
        <v>480</v>
      </c>
      <c r="T300" s="650" t="s">
        <v>480</v>
      </c>
      <c r="U300" s="650"/>
      <c r="V300" s="650" t="s">
        <v>480</v>
      </c>
      <c r="W300" s="650"/>
    </row>
    <row r="301" spans="1:23" ht="13.5" customHeight="1">
      <c r="A301" s="648"/>
      <c r="B301" s="648"/>
      <c r="C301" s="577" t="s">
        <v>918</v>
      </c>
      <c r="D301" s="577"/>
      <c r="E301" s="651" t="s">
        <v>88</v>
      </c>
      <c r="F301" s="651"/>
      <c r="G301" s="650" t="s">
        <v>919</v>
      </c>
      <c r="H301" s="650"/>
      <c r="I301" s="582" t="s">
        <v>919</v>
      </c>
      <c r="J301" s="582" t="s">
        <v>480</v>
      </c>
      <c r="K301" s="582" t="s">
        <v>480</v>
      </c>
      <c r="L301" s="582" t="s">
        <v>480</v>
      </c>
      <c r="M301" s="582" t="s">
        <v>480</v>
      </c>
      <c r="N301" s="582" t="s">
        <v>919</v>
      </c>
      <c r="O301" s="582" t="s">
        <v>480</v>
      </c>
      <c r="P301" s="582" t="s">
        <v>480</v>
      </c>
      <c r="Q301" s="582" t="s">
        <v>480</v>
      </c>
      <c r="R301" s="582" t="s">
        <v>480</v>
      </c>
      <c r="S301" s="582" t="s">
        <v>480</v>
      </c>
      <c r="T301" s="650" t="s">
        <v>480</v>
      </c>
      <c r="U301" s="650"/>
      <c r="V301" s="650" t="s">
        <v>480</v>
      </c>
      <c r="W301" s="650"/>
    </row>
    <row r="302" spans="1:23" ht="13.5" customHeight="1">
      <c r="A302" s="648"/>
      <c r="B302" s="648"/>
      <c r="C302" s="577"/>
      <c r="D302" s="577" t="s">
        <v>889</v>
      </c>
      <c r="E302" s="651" t="s">
        <v>890</v>
      </c>
      <c r="F302" s="651"/>
      <c r="G302" s="650" t="s">
        <v>919</v>
      </c>
      <c r="H302" s="650"/>
      <c r="I302" s="582" t="s">
        <v>919</v>
      </c>
      <c r="J302" s="582" t="s">
        <v>480</v>
      </c>
      <c r="K302" s="582" t="s">
        <v>480</v>
      </c>
      <c r="L302" s="582" t="s">
        <v>480</v>
      </c>
      <c r="M302" s="582" t="s">
        <v>480</v>
      </c>
      <c r="N302" s="582" t="s">
        <v>919</v>
      </c>
      <c r="O302" s="582" t="s">
        <v>480</v>
      </c>
      <c r="P302" s="582" t="s">
        <v>480</v>
      </c>
      <c r="Q302" s="582" t="s">
        <v>480</v>
      </c>
      <c r="R302" s="582" t="s">
        <v>480</v>
      </c>
      <c r="S302" s="582" t="s">
        <v>480</v>
      </c>
      <c r="T302" s="650" t="s">
        <v>480</v>
      </c>
      <c r="U302" s="650"/>
      <c r="V302" s="650" t="s">
        <v>480</v>
      </c>
      <c r="W302" s="650"/>
    </row>
    <row r="303" spans="1:23" ht="13.5" customHeight="1">
      <c r="A303" s="648" t="s">
        <v>920</v>
      </c>
      <c r="B303" s="648"/>
      <c r="C303" s="577"/>
      <c r="D303" s="577"/>
      <c r="E303" s="651" t="s">
        <v>145</v>
      </c>
      <c r="F303" s="651"/>
      <c r="G303" s="650" t="s">
        <v>921</v>
      </c>
      <c r="H303" s="650"/>
      <c r="I303" s="582" t="s">
        <v>921</v>
      </c>
      <c r="J303" s="582" t="s">
        <v>922</v>
      </c>
      <c r="K303" s="582" t="s">
        <v>923</v>
      </c>
      <c r="L303" s="582" t="s">
        <v>924</v>
      </c>
      <c r="M303" s="582" t="s">
        <v>480</v>
      </c>
      <c r="N303" s="582" t="s">
        <v>925</v>
      </c>
      <c r="O303" s="582" t="s">
        <v>480</v>
      </c>
      <c r="P303" s="582" t="s">
        <v>480</v>
      </c>
      <c r="Q303" s="582" t="s">
        <v>480</v>
      </c>
      <c r="R303" s="582" t="s">
        <v>480</v>
      </c>
      <c r="S303" s="582" t="s">
        <v>480</v>
      </c>
      <c r="T303" s="650" t="s">
        <v>480</v>
      </c>
      <c r="U303" s="650"/>
      <c r="V303" s="650" t="s">
        <v>480</v>
      </c>
      <c r="W303" s="650"/>
    </row>
    <row r="304" spans="1:23" ht="13.5" customHeight="1">
      <c r="A304" s="648"/>
      <c r="B304" s="648"/>
      <c r="C304" s="577" t="s">
        <v>926</v>
      </c>
      <c r="D304" s="577"/>
      <c r="E304" s="651" t="s">
        <v>927</v>
      </c>
      <c r="F304" s="651"/>
      <c r="G304" s="650" t="s">
        <v>928</v>
      </c>
      <c r="H304" s="650"/>
      <c r="I304" s="582" t="s">
        <v>928</v>
      </c>
      <c r="J304" s="582" t="s">
        <v>929</v>
      </c>
      <c r="K304" s="582" t="s">
        <v>930</v>
      </c>
      <c r="L304" s="582" t="s">
        <v>931</v>
      </c>
      <c r="M304" s="582" t="s">
        <v>480</v>
      </c>
      <c r="N304" s="582" t="s">
        <v>925</v>
      </c>
      <c r="O304" s="582" t="s">
        <v>480</v>
      </c>
      <c r="P304" s="582" t="s">
        <v>480</v>
      </c>
      <c r="Q304" s="582" t="s">
        <v>480</v>
      </c>
      <c r="R304" s="582" t="s">
        <v>480</v>
      </c>
      <c r="S304" s="582" t="s">
        <v>480</v>
      </c>
      <c r="T304" s="650" t="s">
        <v>480</v>
      </c>
      <c r="U304" s="650"/>
      <c r="V304" s="650" t="s">
        <v>480</v>
      </c>
      <c r="W304" s="650"/>
    </row>
    <row r="305" spans="1:23" ht="13.5" customHeight="1">
      <c r="A305" s="648"/>
      <c r="B305" s="648"/>
      <c r="C305" s="577"/>
      <c r="D305" s="577" t="s">
        <v>600</v>
      </c>
      <c r="E305" s="651" t="s">
        <v>601</v>
      </c>
      <c r="F305" s="651"/>
      <c r="G305" s="650" t="s">
        <v>925</v>
      </c>
      <c r="H305" s="650"/>
      <c r="I305" s="582" t="s">
        <v>925</v>
      </c>
      <c r="J305" s="582" t="s">
        <v>480</v>
      </c>
      <c r="K305" s="582" t="s">
        <v>480</v>
      </c>
      <c r="L305" s="582" t="s">
        <v>480</v>
      </c>
      <c r="M305" s="582" t="s">
        <v>480</v>
      </c>
      <c r="N305" s="582" t="s">
        <v>925</v>
      </c>
      <c r="O305" s="582" t="s">
        <v>480</v>
      </c>
      <c r="P305" s="582" t="s">
        <v>480</v>
      </c>
      <c r="Q305" s="582" t="s">
        <v>480</v>
      </c>
      <c r="R305" s="582" t="s">
        <v>480</v>
      </c>
      <c r="S305" s="582" t="s">
        <v>480</v>
      </c>
      <c r="T305" s="650" t="s">
        <v>480</v>
      </c>
      <c r="U305" s="650"/>
      <c r="V305" s="650" t="s">
        <v>480</v>
      </c>
      <c r="W305" s="650"/>
    </row>
    <row r="306" spans="1:23" ht="13.5" customHeight="1">
      <c r="A306" s="648"/>
      <c r="B306" s="648"/>
      <c r="C306" s="577"/>
      <c r="D306" s="577" t="s">
        <v>602</v>
      </c>
      <c r="E306" s="651" t="s">
        <v>603</v>
      </c>
      <c r="F306" s="651"/>
      <c r="G306" s="650" t="s">
        <v>932</v>
      </c>
      <c r="H306" s="650"/>
      <c r="I306" s="582" t="s">
        <v>932</v>
      </c>
      <c r="J306" s="582" t="s">
        <v>932</v>
      </c>
      <c r="K306" s="582" t="s">
        <v>932</v>
      </c>
      <c r="L306" s="582" t="s">
        <v>480</v>
      </c>
      <c r="M306" s="582" t="s">
        <v>480</v>
      </c>
      <c r="N306" s="582" t="s">
        <v>480</v>
      </c>
      <c r="O306" s="582" t="s">
        <v>480</v>
      </c>
      <c r="P306" s="582" t="s">
        <v>480</v>
      </c>
      <c r="Q306" s="582" t="s">
        <v>480</v>
      </c>
      <c r="R306" s="582" t="s">
        <v>480</v>
      </c>
      <c r="S306" s="582" t="s">
        <v>480</v>
      </c>
      <c r="T306" s="650" t="s">
        <v>480</v>
      </c>
      <c r="U306" s="650"/>
      <c r="V306" s="650" t="s">
        <v>480</v>
      </c>
      <c r="W306" s="650"/>
    </row>
    <row r="307" spans="1:23" ht="13.5" customHeight="1">
      <c r="A307" s="648"/>
      <c r="B307" s="648"/>
      <c r="C307" s="577"/>
      <c r="D307" s="577" t="s">
        <v>605</v>
      </c>
      <c r="E307" s="651" t="s">
        <v>606</v>
      </c>
      <c r="F307" s="651"/>
      <c r="G307" s="650" t="s">
        <v>933</v>
      </c>
      <c r="H307" s="650"/>
      <c r="I307" s="582" t="s">
        <v>933</v>
      </c>
      <c r="J307" s="582" t="s">
        <v>933</v>
      </c>
      <c r="K307" s="582" t="s">
        <v>933</v>
      </c>
      <c r="L307" s="582" t="s">
        <v>480</v>
      </c>
      <c r="M307" s="582" t="s">
        <v>480</v>
      </c>
      <c r="N307" s="582" t="s">
        <v>480</v>
      </c>
      <c r="O307" s="582" t="s">
        <v>480</v>
      </c>
      <c r="P307" s="582" t="s">
        <v>480</v>
      </c>
      <c r="Q307" s="582" t="s">
        <v>480</v>
      </c>
      <c r="R307" s="582" t="s">
        <v>480</v>
      </c>
      <c r="S307" s="582" t="s">
        <v>480</v>
      </c>
      <c r="T307" s="650" t="s">
        <v>480</v>
      </c>
      <c r="U307" s="650"/>
      <c r="V307" s="650" t="s">
        <v>480</v>
      </c>
      <c r="W307" s="650"/>
    </row>
    <row r="308" spans="1:23" ht="13.5" customHeight="1">
      <c r="A308" s="648"/>
      <c r="B308" s="648"/>
      <c r="C308" s="577"/>
      <c r="D308" s="577" t="s">
        <v>608</v>
      </c>
      <c r="E308" s="651" t="s">
        <v>609</v>
      </c>
      <c r="F308" s="651"/>
      <c r="G308" s="650" t="s">
        <v>934</v>
      </c>
      <c r="H308" s="650"/>
      <c r="I308" s="582" t="s">
        <v>934</v>
      </c>
      <c r="J308" s="582" t="s">
        <v>934</v>
      </c>
      <c r="K308" s="582" t="s">
        <v>934</v>
      </c>
      <c r="L308" s="582" t="s">
        <v>480</v>
      </c>
      <c r="M308" s="582" t="s">
        <v>480</v>
      </c>
      <c r="N308" s="582" t="s">
        <v>480</v>
      </c>
      <c r="O308" s="582" t="s">
        <v>480</v>
      </c>
      <c r="P308" s="582" t="s">
        <v>480</v>
      </c>
      <c r="Q308" s="582" t="s">
        <v>480</v>
      </c>
      <c r="R308" s="582" t="s">
        <v>480</v>
      </c>
      <c r="S308" s="582" t="s">
        <v>480</v>
      </c>
      <c r="T308" s="650" t="s">
        <v>480</v>
      </c>
      <c r="U308" s="650"/>
      <c r="V308" s="650" t="s">
        <v>480</v>
      </c>
      <c r="W308" s="650"/>
    </row>
    <row r="309" spans="1:23" ht="13.5" customHeight="1">
      <c r="A309" s="648"/>
      <c r="B309" s="648"/>
      <c r="C309" s="577"/>
      <c r="D309" s="577" t="s">
        <v>611</v>
      </c>
      <c r="E309" s="651" t="s">
        <v>612</v>
      </c>
      <c r="F309" s="651"/>
      <c r="G309" s="650" t="s">
        <v>935</v>
      </c>
      <c r="H309" s="650"/>
      <c r="I309" s="582" t="s">
        <v>935</v>
      </c>
      <c r="J309" s="582" t="s">
        <v>935</v>
      </c>
      <c r="K309" s="582" t="s">
        <v>935</v>
      </c>
      <c r="L309" s="582" t="s">
        <v>480</v>
      </c>
      <c r="M309" s="582" t="s">
        <v>480</v>
      </c>
      <c r="N309" s="582" t="s">
        <v>480</v>
      </c>
      <c r="O309" s="582" t="s">
        <v>480</v>
      </c>
      <c r="P309" s="582" t="s">
        <v>480</v>
      </c>
      <c r="Q309" s="582" t="s">
        <v>480</v>
      </c>
      <c r="R309" s="582" t="s">
        <v>480</v>
      </c>
      <c r="S309" s="582" t="s">
        <v>480</v>
      </c>
      <c r="T309" s="650" t="s">
        <v>480</v>
      </c>
      <c r="U309" s="650"/>
      <c r="V309" s="650" t="s">
        <v>480</v>
      </c>
      <c r="W309" s="650"/>
    </row>
    <row r="310" spans="1:23" ht="13.5" customHeight="1">
      <c r="A310" s="648"/>
      <c r="B310" s="648"/>
      <c r="C310" s="577"/>
      <c r="D310" s="577" t="s">
        <v>486</v>
      </c>
      <c r="E310" s="651" t="s">
        <v>487</v>
      </c>
      <c r="F310" s="651"/>
      <c r="G310" s="650" t="s">
        <v>936</v>
      </c>
      <c r="H310" s="650"/>
      <c r="I310" s="582" t="s">
        <v>936</v>
      </c>
      <c r="J310" s="582" t="s">
        <v>936</v>
      </c>
      <c r="K310" s="582" t="s">
        <v>480</v>
      </c>
      <c r="L310" s="582" t="s">
        <v>936</v>
      </c>
      <c r="M310" s="582" t="s">
        <v>480</v>
      </c>
      <c r="N310" s="582" t="s">
        <v>480</v>
      </c>
      <c r="O310" s="582" t="s">
        <v>480</v>
      </c>
      <c r="P310" s="582" t="s">
        <v>480</v>
      </c>
      <c r="Q310" s="582" t="s">
        <v>480</v>
      </c>
      <c r="R310" s="582" t="s">
        <v>480</v>
      </c>
      <c r="S310" s="582" t="s">
        <v>480</v>
      </c>
      <c r="T310" s="650" t="s">
        <v>480</v>
      </c>
      <c r="U310" s="650"/>
      <c r="V310" s="650" t="s">
        <v>480</v>
      </c>
      <c r="W310" s="650"/>
    </row>
    <row r="311" spans="1:23" ht="17.25" customHeight="1">
      <c r="A311" s="648"/>
      <c r="B311" s="648"/>
      <c r="C311" s="577"/>
      <c r="D311" s="577" t="s">
        <v>637</v>
      </c>
      <c r="E311" s="651" t="s">
        <v>638</v>
      </c>
      <c r="F311" s="651"/>
      <c r="G311" s="650" t="s">
        <v>937</v>
      </c>
      <c r="H311" s="650"/>
      <c r="I311" s="582" t="s">
        <v>937</v>
      </c>
      <c r="J311" s="582" t="s">
        <v>937</v>
      </c>
      <c r="K311" s="582" t="s">
        <v>480</v>
      </c>
      <c r="L311" s="582" t="s">
        <v>937</v>
      </c>
      <c r="M311" s="582" t="s">
        <v>480</v>
      </c>
      <c r="N311" s="582" t="s">
        <v>480</v>
      </c>
      <c r="O311" s="582" t="s">
        <v>480</v>
      </c>
      <c r="P311" s="582" t="s">
        <v>480</v>
      </c>
      <c r="Q311" s="582" t="s">
        <v>480</v>
      </c>
      <c r="R311" s="582" t="s">
        <v>480</v>
      </c>
      <c r="S311" s="582" t="s">
        <v>480</v>
      </c>
      <c r="T311" s="650" t="s">
        <v>480</v>
      </c>
      <c r="U311" s="650"/>
      <c r="V311" s="650" t="s">
        <v>480</v>
      </c>
      <c r="W311" s="650"/>
    </row>
    <row r="312" spans="1:23" ht="17.25" customHeight="1">
      <c r="A312" s="648"/>
      <c r="B312" s="648"/>
      <c r="C312" s="577" t="s">
        <v>938</v>
      </c>
      <c r="D312" s="577"/>
      <c r="E312" s="651" t="s">
        <v>939</v>
      </c>
      <c r="F312" s="651"/>
      <c r="G312" s="650" t="s">
        <v>940</v>
      </c>
      <c r="H312" s="650"/>
      <c r="I312" s="582" t="s">
        <v>940</v>
      </c>
      <c r="J312" s="582" t="s">
        <v>940</v>
      </c>
      <c r="K312" s="582" t="s">
        <v>644</v>
      </c>
      <c r="L312" s="582" t="s">
        <v>617</v>
      </c>
      <c r="M312" s="582" t="s">
        <v>480</v>
      </c>
      <c r="N312" s="582" t="s">
        <v>480</v>
      </c>
      <c r="O312" s="582" t="s">
        <v>480</v>
      </c>
      <c r="P312" s="582" t="s">
        <v>480</v>
      </c>
      <c r="Q312" s="582" t="s">
        <v>480</v>
      </c>
      <c r="R312" s="582" t="s">
        <v>480</v>
      </c>
      <c r="S312" s="582" t="s">
        <v>480</v>
      </c>
      <c r="T312" s="650" t="s">
        <v>480</v>
      </c>
      <c r="U312" s="650"/>
      <c r="V312" s="650" t="s">
        <v>480</v>
      </c>
      <c r="W312" s="650"/>
    </row>
    <row r="313" spans="1:23" ht="13.5" customHeight="1">
      <c r="A313" s="648"/>
      <c r="B313" s="648"/>
      <c r="C313" s="577"/>
      <c r="D313" s="577" t="s">
        <v>543</v>
      </c>
      <c r="E313" s="651" t="s">
        <v>544</v>
      </c>
      <c r="F313" s="651"/>
      <c r="G313" s="650" t="s">
        <v>644</v>
      </c>
      <c r="H313" s="650"/>
      <c r="I313" s="582" t="s">
        <v>644</v>
      </c>
      <c r="J313" s="582" t="s">
        <v>644</v>
      </c>
      <c r="K313" s="582" t="s">
        <v>644</v>
      </c>
      <c r="L313" s="582" t="s">
        <v>480</v>
      </c>
      <c r="M313" s="582" t="s">
        <v>480</v>
      </c>
      <c r="N313" s="582" t="s">
        <v>480</v>
      </c>
      <c r="O313" s="582" t="s">
        <v>480</v>
      </c>
      <c r="P313" s="582" t="s">
        <v>480</v>
      </c>
      <c r="Q313" s="582" t="s">
        <v>480</v>
      </c>
      <c r="R313" s="582" t="s">
        <v>480</v>
      </c>
      <c r="S313" s="582" t="s">
        <v>480</v>
      </c>
      <c r="T313" s="650" t="s">
        <v>480</v>
      </c>
      <c r="U313" s="650"/>
      <c r="V313" s="650" t="s">
        <v>480</v>
      </c>
      <c r="W313" s="650"/>
    </row>
    <row r="314" spans="1:23" ht="13.5" customHeight="1">
      <c r="A314" s="648"/>
      <c r="B314" s="648"/>
      <c r="C314" s="577"/>
      <c r="D314" s="577" t="s">
        <v>483</v>
      </c>
      <c r="E314" s="651" t="s">
        <v>484</v>
      </c>
      <c r="F314" s="651"/>
      <c r="G314" s="650" t="s">
        <v>488</v>
      </c>
      <c r="H314" s="650"/>
      <c r="I314" s="582" t="s">
        <v>488</v>
      </c>
      <c r="J314" s="582" t="s">
        <v>488</v>
      </c>
      <c r="K314" s="582" t="s">
        <v>480</v>
      </c>
      <c r="L314" s="582" t="s">
        <v>488</v>
      </c>
      <c r="M314" s="582" t="s">
        <v>480</v>
      </c>
      <c r="N314" s="582" t="s">
        <v>480</v>
      </c>
      <c r="O314" s="582" t="s">
        <v>480</v>
      </c>
      <c r="P314" s="582" t="s">
        <v>480</v>
      </c>
      <c r="Q314" s="582" t="s">
        <v>480</v>
      </c>
      <c r="R314" s="582" t="s">
        <v>480</v>
      </c>
      <c r="S314" s="582" t="s">
        <v>480</v>
      </c>
      <c r="T314" s="650" t="s">
        <v>480</v>
      </c>
      <c r="U314" s="650"/>
      <c r="V314" s="650" t="s">
        <v>480</v>
      </c>
      <c r="W314" s="650"/>
    </row>
    <row r="315" spans="1:23" ht="13.5" customHeight="1">
      <c r="A315" s="648"/>
      <c r="B315" s="648"/>
      <c r="C315" s="577"/>
      <c r="D315" s="577" t="s">
        <v>486</v>
      </c>
      <c r="E315" s="651" t="s">
        <v>487</v>
      </c>
      <c r="F315" s="651"/>
      <c r="G315" s="650" t="s">
        <v>941</v>
      </c>
      <c r="H315" s="650"/>
      <c r="I315" s="582" t="s">
        <v>941</v>
      </c>
      <c r="J315" s="582" t="s">
        <v>941</v>
      </c>
      <c r="K315" s="582" t="s">
        <v>480</v>
      </c>
      <c r="L315" s="582" t="s">
        <v>941</v>
      </c>
      <c r="M315" s="582" t="s">
        <v>480</v>
      </c>
      <c r="N315" s="582" t="s">
        <v>480</v>
      </c>
      <c r="O315" s="582" t="s">
        <v>480</v>
      </c>
      <c r="P315" s="582" t="s">
        <v>480</v>
      </c>
      <c r="Q315" s="582" t="s">
        <v>480</v>
      </c>
      <c r="R315" s="582" t="s">
        <v>480</v>
      </c>
      <c r="S315" s="582" t="s">
        <v>480</v>
      </c>
      <c r="T315" s="650" t="s">
        <v>480</v>
      </c>
      <c r="U315" s="650"/>
      <c r="V315" s="650" t="s">
        <v>480</v>
      </c>
      <c r="W315" s="650"/>
    </row>
    <row r="316" spans="1:23" ht="13.5" customHeight="1">
      <c r="A316" s="648"/>
      <c r="B316" s="648"/>
      <c r="C316" s="577" t="s">
        <v>942</v>
      </c>
      <c r="D316" s="577"/>
      <c r="E316" s="651" t="s">
        <v>88</v>
      </c>
      <c r="F316" s="651"/>
      <c r="G316" s="650" t="s">
        <v>914</v>
      </c>
      <c r="H316" s="650"/>
      <c r="I316" s="582" t="s">
        <v>914</v>
      </c>
      <c r="J316" s="582" t="s">
        <v>914</v>
      </c>
      <c r="K316" s="582" t="s">
        <v>480</v>
      </c>
      <c r="L316" s="582" t="s">
        <v>914</v>
      </c>
      <c r="M316" s="582" t="s">
        <v>480</v>
      </c>
      <c r="N316" s="582" t="s">
        <v>480</v>
      </c>
      <c r="O316" s="582" t="s">
        <v>480</v>
      </c>
      <c r="P316" s="582" t="s">
        <v>480</v>
      </c>
      <c r="Q316" s="582" t="s">
        <v>480</v>
      </c>
      <c r="R316" s="582" t="s">
        <v>480</v>
      </c>
      <c r="S316" s="582" t="s">
        <v>480</v>
      </c>
      <c r="T316" s="650" t="s">
        <v>480</v>
      </c>
      <c r="U316" s="650"/>
      <c r="V316" s="650" t="s">
        <v>480</v>
      </c>
      <c r="W316" s="650"/>
    </row>
    <row r="317" spans="1:23" ht="13.5" customHeight="1">
      <c r="A317" s="648"/>
      <c r="B317" s="648"/>
      <c r="C317" s="577"/>
      <c r="D317" s="577" t="s">
        <v>483</v>
      </c>
      <c r="E317" s="651" t="s">
        <v>484</v>
      </c>
      <c r="F317" s="651"/>
      <c r="G317" s="650" t="s">
        <v>914</v>
      </c>
      <c r="H317" s="650"/>
      <c r="I317" s="582" t="s">
        <v>914</v>
      </c>
      <c r="J317" s="582" t="s">
        <v>914</v>
      </c>
      <c r="K317" s="582" t="s">
        <v>480</v>
      </c>
      <c r="L317" s="582" t="s">
        <v>914</v>
      </c>
      <c r="M317" s="582" t="s">
        <v>480</v>
      </c>
      <c r="N317" s="582" t="s">
        <v>480</v>
      </c>
      <c r="O317" s="582" t="s">
        <v>480</v>
      </c>
      <c r="P317" s="582" t="s">
        <v>480</v>
      </c>
      <c r="Q317" s="582" t="s">
        <v>480</v>
      </c>
      <c r="R317" s="582" t="s">
        <v>480</v>
      </c>
      <c r="S317" s="582" t="s">
        <v>480</v>
      </c>
      <c r="T317" s="650" t="s">
        <v>480</v>
      </c>
      <c r="U317" s="650"/>
      <c r="V317" s="650" t="s">
        <v>480</v>
      </c>
      <c r="W317" s="650"/>
    </row>
    <row r="318" spans="1:23" ht="13.5" customHeight="1">
      <c r="A318" s="648" t="s">
        <v>943</v>
      </c>
      <c r="B318" s="648"/>
      <c r="C318" s="577"/>
      <c r="D318" s="577"/>
      <c r="E318" s="651" t="s">
        <v>944</v>
      </c>
      <c r="F318" s="651"/>
      <c r="G318" s="650" t="s">
        <v>945</v>
      </c>
      <c r="H318" s="650"/>
      <c r="I318" s="582" t="s">
        <v>946</v>
      </c>
      <c r="J318" s="582" t="s">
        <v>946</v>
      </c>
      <c r="K318" s="582" t="s">
        <v>546</v>
      </c>
      <c r="L318" s="582" t="s">
        <v>947</v>
      </c>
      <c r="M318" s="582" t="s">
        <v>480</v>
      </c>
      <c r="N318" s="582" t="s">
        <v>480</v>
      </c>
      <c r="O318" s="582" t="s">
        <v>480</v>
      </c>
      <c r="P318" s="582" t="s">
        <v>480</v>
      </c>
      <c r="Q318" s="582" t="s">
        <v>480</v>
      </c>
      <c r="R318" s="582" t="s">
        <v>948</v>
      </c>
      <c r="S318" s="582" t="s">
        <v>949</v>
      </c>
      <c r="T318" s="650" t="s">
        <v>950</v>
      </c>
      <c r="U318" s="650"/>
      <c r="V318" s="650" t="s">
        <v>951</v>
      </c>
      <c r="W318" s="650"/>
    </row>
    <row r="319" spans="1:23" ht="13.5" customHeight="1">
      <c r="A319" s="648"/>
      <c r="B319" s="648"/>
      <c r="C319" s="577" t="s">
        <v>952</v>
      </c>
      <c r="D319" s="577"/>
      <c r="E319" s="651" t="s">
        <v>156</v>
      </c>
      <c r="F319" s="651"/>
      <c r="G319" s="650" t="s">
        <v>953</v>
      </c>
      <c r="H319" s="650"/>
      <c r="I319" s="582" t="s">
        <v>954</v>
      </c>
      <c r="J319" s="582" t="s">
        <v>954</v>
      </c>
      <c r="K319" s="582" t="s">
        <v>480</v>
      </c>
      <c r="L319" s="582" t="s">
        <v>954</v>
      </c>
      <c r="M319" s="582" t="s">
        <v>480</v>
      </c>
      <c r="N319" s="582" t="s">
        <v>480</v>
      </c>
      <c r="O319" s="582" t="s">
        <v>480</v>
      </c>
      <c r="P319" s="582" t="s">
        <v>480</v>
      </c>
      <c r="Q319" s="582" t="s">
        <v>480</v>
      </c>
      <c r="R319" s="582" t="s">
        <v>658</v>
      </c>
      <c r="S319" s="582" t="s">
        <v>658</v>
      </c>
      <c r="T319" s="650" t="s">
        <v>658</v>
      </c>
      <c r="U319" s="650"/>
      <c r="V319" s="650" t="s">
        <v>480</v>
      </c>
      <c r="W319" s="650"/>
    </row>
    <row r="320" spans="1:23" ht="13.5" customHeight="1">
      <c r="A320" s="648"/>
      <c r="B320" s="648"/>
      <c r="C320" s="577"/>
      <c r="D320" s="577" t="s">
        <v>558</v>
      </c>
      <c r="E320" s="651" t="s">
        <v>559</v>
      </c>
      <c r="F320" s="651"/>
      <c r="G320" s="650" t="s">
        <v>498</v>
      </c>
      <c r="H320" s="650"/>
      <c r="I320" s="582" t="s">
        <v>498</v>
      </c>
      <c r="J320" s="582" t="s">
        <v>498</v>
      </c>
      <c r="K320" s="582" t="s">
        <v>480</v>
      </c>
      <c r="L320" s="582" t="s">
        <v>498</v>
      </c>
      <c r="M320" s="582" t="s">
        <v>480</v>
      </c>
      <c r="N320" s="582" t="s">
        <v>480</v>
      </c>
      <c r="O320" s="582" t="s">
        <v>480</v>
      </c>
      <c r="P320" s="582" t="s">
        <v>480</v>
      </c>
      <c r="Q320" s="582" t="s">
        <v>480</v>
      </c>
      <c r="R320" s="582" t="s">
        <v>480</v>
      </c>
      <c r="S320" s="582" t="s">
        <v>480</v>
      </c>
      <c r="T320" s="650" t="s">
        <v>480</v>
      </c>
      <c r="U320" s="650"/>
      <c r="V320" s="650" t="s">
        <v>480</v>
      </c>
      <c r="W320" s="650"/>
    </row>
    <row r="321" spans="1:23" ht="13.5" customHeight="1">
      <c r="A321" s="648"/>
      <c r="B321" s="648"/>
      <c r="C321" s="577"/>
      <c r="D321" s="577" t="s">
        <v>517</v>
      </c>
      <c r="E321" s="651" t="s">
        <v>518</v>
      </c>
      <c r="F321" s="651"/>
      <c r="G321" s="650" t="s">
        <v>617</v>
      </c>
      <c r="H321" s="650"/>
      <c r="I321" s="582" t="s">
        <v>617</v>
      </c>
      <c r="J321" s="582" t="s">
        <v>617</v>
      </c>
      <c r="K321" s="582" t="s">
        <v>480</v>
      </c>
      <c r="L321" s="582" t="s">
        <v>617</v>
      </c>
      <c r="M321" s="582" t="s">
        <v>480</v>
      </c>
      <c r="N321" s="582" t="s">
        <v>480</v>
      </c>
      <c r="O321" s="582" t="s">
        <v>480</v>
      </c>
      <c r="P321" s="582" t="s">
        <v>480</v>
      </c>
      <c r="Q321" s="582" t="s">
        <v>480</v>
      </c>
      <c r="R321" s="582" t="s">
        <v>480</v>
      </c>
      <c r="S321" s="582" t="s">
        <v>480</v>
      </c>
      <c r="T321" s="650" t="s">
        <v>480</v>
      </c>
      <c r="U321" s="650"/>
      <c r="V321" s="650" t="s">
        <v>480</v>
      </c>
      <c r="W321" s="650"/>
    </row>
    <row r="322" spans="1:23" ht="13.5" customHeight="1">
      <c r="A322" s="648"/>
      <c r="B322" s="648"/>
      <c r="C322" s="577"/>
      <c r="D322" s="577" t="s">
        <v>486</v>
      </c>
      <c r="E322" s="651" t="s">
        <v>487</v>
      </c>
      <c r="F322" s="651"/>
      <c r="G322" s="650" t="s">
        <v>955</v>
      </c>
      <c r="H322" s="650"/>
      <c r="I322" s="582" t="s">
        <v>955</v>
      </c>
      <c r="J322" s="582" t="s">
        <v>955</v>
      </c>
      <c r="K322" s="582" t="s">
        <v>480</v>
      </c>
      <c r="L322" s="582" t="s">
        <v>955</v>
      </c>
      <c r="M322" s="582" t="s">
        <v>480</v>
      </c>
      <c r="N322" s="582" t="s">
        <v>480</v>
      </c>
      <c r="O322" s="582" t="s">
        <v>480</v>
      </c>
      <c r="P322" s="582" t="s">
        <v>480</v>
      </c>
      <c r="Q322" s="582" t="s">
        <v>480</v>
      </c>
      <c r="R322" s="582" t="s">
        <v>480</v>
      </c>
      <c r="S322" s="582" t="s">
        <v>480</v>
      </c>
      <c r="T322" s="650" t="s">
        <v>480</v>
      </c>
      <c r="U322" s="650"/>
      <c r="V322" s="650" t="s">
        <v>480</v>
      </c>
      <c r="W322" s="650"/>
    </row>
    <row r="323" spans="1:23" ht="13.5" customHeight="1">
      <c r="A323" s="648"/>
      <c r="B323" s="648"/>
      <c r="C323" s="577"/>
      <c r="D323" s="577" t="s">
        <v>525</v>
      </c>
      <c r="E323" s="651" t="s">
        <v>523</v>
      </c>
      <c r="F323" s="651"/>
      <c r="G323" s="650" t="s">
        <v>956</v>
      </c>
      <c r="H323" s="650"/>
      <c r="I323" s="582" t="s">
        <v>480</v>
      </c>
      <c r="J323" s="582" t="s">
        <v>480</v>
      </c>
      <c r="K323" s="582" t="s">
        <v>480</v>
      </c>
      <c r="L323" s="582" t="s">
        <v>480</v>
      </c>
      <c r="M323" s="582" t="s">
        <v>480</v>
      </c>
      <c r="N323" s="582" t="s">
        <v>480</v>
      </c>
      <c r="O323" s="582" t="s">
        <v>480</v>
      </c>
      <c r="P323" s="582" t="s">
        <v>480</v>
      </c>
      <c r="Q323" s="582" t="s">
        <v>480</v>
      </c>
      <c r="R323" s="582" t="s">
        <v>956</v>
      </c>
      <c r="S323" s="582" t="s">
        <v>956</v>
      </c>
      <c r="T323" s="650" t="s">
        <v>956</v>
      </c>
      <c r="U323" s="650"/>
      <c r="V323" s="650" t="s">
        <v>480</v>
      </c>
      <c r="W323" s="650"/>
    </row>
    <row r="324" spans="1:23" ht="13.5" customHeight="1">
      <c r="A324" s="648"/>
      <c r="B324" s="648"/>
      <c r="C324" s="577"/>
      <c r="D324" s="577" t="s">
        <v>527</v>
      </c>
      <c r="E324" s="651" t="s">
        <v>523</v>
      </c>
      <c r="F324" s="651"/>
      <c r="G324" s="650" t="s">
        <v>956</v>
      </c>
      <c r="H324" s="650"/>
      <c r="I324" s="582" t="s">
        <v>480</v>
      </c>
      <c r="J324" s="582" t="s">
        <v>480</v>
      </c>
      <c r="K324" s="582" t="s">
        <v>480</v>
      </c>
      <c r="L324" s="582" t="s">
        <v>480</v>
      </c>
      <c r="M324" s="582" t="s">
        <v>480</v>
      </c>
      <c r="N324" s="582" t="s">
        <v>480</v>
      </c>
      <c r="O324" s="582" t="s">
        <v>480</v>
      </c>
      <c r="P324" s="582" t="s">
        <v>480</v>
      </c>
      <c r="Q324" s="582" t="s">
        <v>480</v>
      </c>
      <c r="R324" s="582" t="s">
        <v>956</v>
      </c>
      <c r="S324" s="582" t="s">
        <v>956</v>
      </c>
      <c r="T324" s="650" t="s">
        <v>956</v>
      </c>
      <c r="U324" s="650"/>
      <c r="V324" s="650" t="s">
        <v>480</v>
      </c>
      <c r="W324" s="650"/>
    </row>
    <row r="325" spans="1:23" ht="13.5" customHeight="1">
      <c r="A325" s="648"/>
      <c r="B325" s="648"/>
      <c r="C325" s="577" t="s">
        <v>957</v>
      </c>
      <c r="D325" s="577"/>
      <c r="E325" s="651" t="s">
        <v>435</v>
      </c>
      <c r="F325" s="651"/>
      <c r="G325" s="650" t="s">
        <v>951</v>
      </c>
      <c r="H325" s="650"/>
      <c r="I325" s="582" t="s">
        <v>480</v>
      </c>
      <c r="J325" s="582" t="s">
        <v>480</v>
      </c>
      <c r="K325" s="582" t="s">
        <v>480</v>
      </c>
      <c r="L325" s="582" t="s">
        <v>480</v>
      </c>
      <c r="M325" s="582" t="s">
        <v>480</v>
      </c>
      <c r="N325" s="582" t="s">
        <v>480</v>
      </c>
      <c r="O325" s="582" t="s">
        <v>480</v>
      </c>
      <c r="P325" s="582" t="s">
        <v>480</v>
      </c>
      <c r="Q325" s="582" t="s">
        <v>480</v>
      </c>
      <c r="R325" s="582" t="s">
        <v>951</v>
      </c>
      <c r="S325" s="582" t="s">
        <v>480</v>
      </c>
      <c r="T325" s="650" t="s">
        <v>480</v>
      </c>
      <c r="U325" s="650"/>
      <c r="V325" s="650" t="s">
        <v>951</v>
      </c>
      <c r="W325" s="650"/>
    </row>
    <row r="326" spans="1:23" ht="36" customHeight="1">
      <c r="A326" s="648"/>
      <c r="B326" s="648"/>
      <c r="C326" s="577"/>
      <c r="D326" s="577" t="s">
        <v>551</v>
      </c>
      <c r="E326" s="651" t="s">
        <v>552</v>
      </c>
      <c r="F326" s="651"/>
      <c r="G326" s="650" t="s">
        <v>951</v>
      </c>
      <c r="H326" s="650"/>
      <c r="I326" s="582" t="s">
        <v>480</v>
      </c>
      <c r="J326" s="582" t="s">
        <v>480</v>
      </c>
      <c r="K326" s="582" t="s">
        <v>480</v>
      </c>
      <c r="L326" s="582" t="s">
        <v>480</v>
      </c>
      <c r="M326" s="582" t="s">
        <v>480</v>
      </c>
      <c r="N326" s="582" t="s">
        <v>480</v>
      </c>
      <c r="O326" s="582" t="s">
        <v>480</v>
      </c>
      <c r="P326" s="582" t="s">
        <v>480</v>
      </c>
      <c r="Q326" s="582" t="s">
        <v>480</v>
      </c>
      <c r="R326" s="582" t="s">
        <v>951</v>
      </c>
      <c r="S326" s="582" t="s">
        <v>480</v>
      </c>
      <c r="T326" s="650" t="s">
        <v>480</v>
      </c>
      <c r="U326" s="650"/>
      <c r="V326" s="650" t="s">
        <v>951</v>
      </c>
      <c r="W326" s="650"/>
    </row>
    <row r="327" spans="1:23" ht="13.5" customHeight="1">
      <c r="A327" s="648"/>
      <c r="B327" s="648"/>
      <c r="C327" s="577" t="s">
        <v>958</v>
      </c>
      <c r="D327" s="577"/>
      <c r="E327" s="651" t="s">
        <v>167</v>
      </c>
      <c r="F327" s="651"/>
      <c r="G327" s="650" t="s">
        <v>643</v>
      </c>
      <c r="H327" s="650"/>
      <c r="I327" s="582" t="s">
        <v>643</v>
      </c>
      <c r="J327" s="582" t="s">
        <v>643</v>
      </c>
      <c r="K327" s="582" t="s">
        <v>480</v>
      </c>
      <c r="L327" s="582" t="s">
        <v>643</v>
      </c>
      <c r="M327" s="582" t="s">
        <v>480</v>
      </c>
      <c r="N327" s="582" t="s">
        <v>480</v>
      </c>
      <c r="O327" s="582" t="s">
        <v>480</v>
      </c>
      <c r="P327" s="582" t="s">
        <v>480</v>
      </c>
      <c r="Q327" s="582" t="s">
        <v>480</v>
      </c>
      <c r="R327" s="582" t="s">
        <v>480</v>
      </c>
      <c r="S327" s="582" t="s">
        <v>480</v>
      </c>
      <c r="T327" s="650" t="s">
        <v>480</v>
      </c>
      <c r="U327" s="650"/>
      <c r="V327" s="650" t="s">
        <v>480</v>
      </c>
      <c r="W327" s="650"/>
    </row>
    <row r="328" spans="1:23" ht="13.5" customHeight="1">
      <c r="A328" s="648"/>
      <c r="B328" s="648"/>
      <c r="C328" s="577"/>
      <c r="D328" s="577" t="s">
        <v>486</v>
      </c>
      <c r="E328" s="651" t="s">
        <v>487</v>
      </c>
      <c r="F328" s="651"/>
      <c r="G328" s="650" t="s">
        <v>643</v>
      </c>
      <c r="H328" s="650"/>
      <c r="I328" s="582" t="s">
        <v>643</v>
      </c>
      <c r="J328" s="582" t="s">
        <v>643</v>
      </c>
      <c r="K328" s="582" t="s">
        <v>480</v>
      </c>
      <c r="L328" s="582" t="s">
        <v>643</v>
      </c>
      <c r="M328" s="582" t="s">
        <v>480</v>
      </c>
      <c r="N328" s="582" t="s">
        <v>480</v>
      </c>
      <c r="O328" s="582" t="s">
        <v>480</v>
      </c>
      <c r="P328" s="582" t="s">
        <v>480</v>
      </c>
      <c r="Q328" s="582" t="s">
        <v>480</v>
      </c>
      <c r="R328" s="582" t="s">
        <v>480</v>
      </c>
      <c r="S328" s="582" t="s">
        <v>480</v>
      </c>
      <c r="T328" s="650" t="s">
        <v>480</v>
      </c>
      <c r="U328" s="650"/>
      <c r="V328" s="650" t="s">
        <v>480</v>
      </c>
      <c r="W328" s="650"/>
    </row>
    <row r="329" spans="1:23" ht="13.5" customHeight="1">
      <c r="A329" s="648"/>
      <c r="B329" s="648"/>
      <c r="C329" s="577" t="s">
        <v>959</v>
      </c>
      <c r="D329" s="577"/>
      <c r="E329" s="651" t="s">
        <v>960</v>
      </c>
      <c r="F329" s="651"/>
      <c r="G329" s="650" t="s">
        <v>584</v>
      </c>
      <c r="H329" s="650"/>
      <c r="I329" s="582" t="s">
        <v>584</v>
      </c>
      <c r="J329" s="582" t="s">
        <v>584</v>
      </c>
      <c r="K329" s="582" t="s">
        <v>480</v>
      </c>
      <c r="L329" s="582" t="s">
        <v>584</v>
      </c>
      <c r="M329" s="582" t="s">
        <v>480</v>
      </c>
      <c r="N329" s="582" t="s">
        <v>480</v>
      </c>
      <c r="O329" s="582" t="s">
        <v>480</v>
      </c>
      <c r="P329" s="582" t="s">
        <v>480</v>
      </c>
      <c r="Q329" s="582" t="s">
        <v>480</v>
      </c>
      <c r="R329" s="582" t="s">
        <v>480</v>
      </c>
      <c r="S329" s="582" t="s">
        <v>480</v>
      </c>
      <c r="T329" s="650" t="s">
        <v>480</v>
      </c>
      <c r="U329" s="650"/>
      <c r="V329" s="650" t="s">
        <v>480</v>
      </c>
      <c r="W329" s="650"/>
    </row>
    <row r="330" spans="1:23" ht="13.5" customHeight="1">
      <c r="A330" s="648"/>
      <c r="B330" s="648"/>
      <c r="C330" s="577"/>
      <c r="D330" s="577" t="s">
        <v>486</v>
      </c>
      <c r="E330" s="651" t="s">
        <v>487</v>
      </c>
      <c r="F330" s="651"/>
      <c r="G330" s="650" t="s">
        <v>584</v>
      </c>
      <c r="H330" s="650"/>
      <c r="I330" s="582" t="s">
        <v>584</v>
      </c>
      <c r="J330" s="582" t="s">
        <v>584</v>
      </c>
      <c r="K330" s="582" t="s">
        <v>480</v>
      </c>
      <c r="L330" s="582" t="s">
        <v>584</v>
      </c>
      <c r="M330" s="582" t="s">
        <v>480</v>
      </c>
      <c r="N330" s="582" t="s">
        <v>480</v>
      </c>
      <c r="O330" s="582" t="s">
        <v>480</v>
      </c>
      <c r="P330" s="582" t="s">
        <v>480</v>
      </c>
      <c r="Q330" s="582" t="s">
        <v>480</v>
      </c>
      <c r="R330" s="582" t="s">
        <v>480</v>
      </c>
      <c r="S330" s="582" t="s">
        <v>480</v>
      </c>
      <c r="T330" s="650" t="s">
        <v>480</v>
      </c>
      <c r="U330" s="650"/>
      <c r="V330" s="650" t="s">
        <v>480</v>
      </c>
      <c r="W330" s="650"/>
    </row>
    <row r="331" spans="1:23" ht="13.5" customHeight="1">
      <c r="A331" s="648"/>
      <c r="B331" s="648"/>
      <c r="C331" s="577" t="s">
        <v>961</v>
      </c>
      <c r="D331" s="577"/>
      <c r="E331" s="651" t="s">
        <v>169</v>
      </c>
      <c r="F331" s="651"/>
      <c r="G331" s="650" t="s">
        <v>962</v>
      </c>
      <c r="H331" s="650"/>
      <c r="I331" s="582" t="s">
        <v>962</v>
      </c>
      <c r="J331" s="582" t="s">
        <v>962</v>
      </c>
      <c r="K331" s="582" t="s">
        <v>480</v>
      </c>
      <c r="L331" s="582" t="s">
        <v>962</v>
      </c>
      <c r="M331" s="582" t="s">
        <v>480</v>
      </c>
      <c r="N331" s="582" t="s">
        <v>480</v>
      </c>
      <c r="O331" s="582" t="s">
        <v>480</v>
      </c>
      <c r="P331" s="582" t="s">
        <v>480</v>
      </c>
      <c r="Q331" s="582" t="s">
        <v>480</v>
      </c>
      <c r="R331" s="582" t="s">
        <v>480</v>
      </c>
      <c r="S331" s="582" t="s">
        <v>480</v>
      </c>
      <c r="T331" s="650" t="s">
        <v>480</v>
      </c>
      <c r="U331" s="650"/>
      <c r="V331" s="650" t="s">
        <v>480</v>
      </c>
      <c r="W331" s="650"/>
    </row>
    <row r="332" spans="1:23" ht="13.5" customHeight="1">
      <c r="A332" s="648"/>
      <c r="B332" s="648"/>
      <c r="C332" s="577"/>
      <c r="D332" s="577" t="s">
        <v>486</v>
      </c>
      <c r="E332" s="651" t="s">
        <v>487</v>
      </c>
      <c r="F332" s="651"/>
      <c r="G332" s="650" t="s">
        <v>962</v>
      </c>
      <c r="H332" s="650"/>
      <c r="I332" s="582" t="s">
        <v>962</v>
      </c>
      <c r="J332" s="582" t="s">
        <v>962</v>
      </c>
      <c r="K332" s="582" t="s">
        <v>480</v>
      </c>
      <c r="L332" s="582" t="s">
        <v>962</v>
      </c>
      <c r="M332" s="582" t="s">
        <v>480</v>
      </c>
      <c r="N332" s="582" t="s">
        <v>480</v>
      </c>
      <c r="O332" s="582" t="s">
        <v>480</v>
      </c>
      <c r="P332" s="582" t="s">
        <v>480</v>
      </c>
      <c r="Q332" s="582" t="s">
        <v>480</v>
      </c>
      <c r="R332" s="582" t="s">
        <v>480</v>
      </c>
      <c r="S332" s="582" t="s">
        <v>480</v>
      </c>
      <c r="T332" s="650" t="s">
        <v>480</v>
      </c>
      <c r="U332" s="650"/>
      <c r="V332" s="650" t="s">
        <v>480</v>
      </c>
      <c r="W332" s="650"/>
    </row>
    <row r="333" spans="1:23" ht="13.5" customHeight="1">
      <c r="A333" s="648"/>
      <c r="B333" s="648"/>
      <c r="C333" s="577" t="s">
        <v>963</v>
      </c>
      <c r="D333" s="577"/>
      <c r="E333" s="651" t="s">
        <v>170</v>
      </c>
      <c r="F333" s="651"/>
      <c r="G333" s="650" t="s">
        <v>964</v>
      </c>
      <c r="H333" s="650"/>
      <c r="I333" s="582" t="s">
        <v>965</v>
      </c>
      <c r="J333" s="582" t="s">
        <v>965</v>
      </c>
      <c r="K333" s="582" t="s">
        <v>480</v>
      </c>
      <c r="L333" s="582" t="s">
        <v>965</v>
      </c>
      <c r="M333" s="582" t="s">
        <v>480</v>
      </c>
      <c r="N333" s="582" t="s">
        <v>480</v>
      </c>
      <c r="O333" s="582" t="s">
        <v>480</v>
      </c>
      <c r="P333" s="582" t="s">
        <v>480</v>
      </c>
      <c r="Q333" s="582" t="s">
        <v>480</v>
      </c>
      <c r="R333" s="582" t="s">
        <v>966</v>
      </c>
      <c r="S333" s="582" t="s">
        <v>966</v>
      </c>
      <c r="T333" s="650" t="s">
        <v>966</v>
      </c>
      <c r="U333" s="650"/>
      <c r="V333" s="650" t="s">
        <v>480</v>
      </c>
      <c r="W333" s="650"/>
    </row>
    <row r="334" spans="1:23" ht="13.5" customHeight="1">
      <c r="A334" s="648"/>
      <c r="B334" s="648"/>
      <c r="C334" s="577"/>
      <c r="D334" s="577" t="s">
        <v>558</v>
      </c>
      <c r="E334" s="651" t="s">
        <v>559</v>
      </c>
      <c r="F334" s="651"/>
      <c r="G334" s="650" t="s">
        <v>967</v>
      </c>
      <c r="H334" s="650"/>
      <c r="I334" s="582" t="s">
        <v>967</v>
      </c>
      <c r="J334" s="582" t="s">
        <v>967</v>
      </c>
      <c r="K334" s="582" t="s">
        <v>480</v>
      </c>
      <c r="L334" s="582" t="s">
        <v>967</v>
      </c>
      <c r="M334" s="582" t="s">
        <v>480</v>
      </c>
      <c r="N334" s="582" t="s">
        <v>480</v>
      </c>
      <c r="O334" s="582" t="s">
        <v>480</v>
      </c>
      <c r="P334" s="582" t="s">
        <v>480</v>
      </c>
      <c r="Q334" s="582" t="s">
        <v>480</v>
      </c>
      <c r="R334" s="582" t="s">
        <v>480</v>
      </c>
      <c r="S334" s="582" t="s">
        <v>480</v>
      </c>
      <c r="T334" s="650" t="s">
        <v>480</v>
      </c>
      <c r="U334" s="650"/>
      <c r="V334" s="650" t="s">
        <v>480</v>
      </c>
      <c r="W334" s="650"/>
    </row>
    <row r="335" spans="1:23" ht="13.5" customHeight="1">
      <c r="A335" s="648"/>
      <c r="B335" s="648"/>
      <c r="C335" s="577"/>
      <c r="D335" s="577" t="s">
        <v>486</v>
      </c>
      <c r="E335" s="651" t="s">
        <v>487</v>
      </c>
      <c r="F335" s="651"/>
      <c r="G335" s="650" t="s">
        <v>641</v>
      </c>
      <c r="H335" s="650"/>
      <c r="I335" s="582" t="s">
        <v>641</v>
      </c>
      <c r="J335" s="582" t="s">
        <v>641</v>
      </c>
      <c r="K335" s="582" t="s">
        <v>480</v>
      </c>
      <c r="L335" s="582" t="s">
        <v>641</v>
      </c>
      <c r="M335" s="582" t="s">
        <v>480</v>
      </c>
      <c r="N335" s="582" t="s">
        <v>480</v>
      </c>
      <c r="O335" s="582" t="s">
        <v>480</v>
      </c>
      <c r="P335" s="582" t="s">
        <v>480</v>
      </c>
      <c r="Q335" s="582" t="s">
        <v>480</v>
      </c>
      <c r="R335" s="582" t="s">
        <v>480</v>
      </c>
      <c r="S335" s="582" t="s">
        <v>480</v>
      </c>
      <c r="T335" s="650" t="s">
        <v>480</v>
      </c>
      <c r="U335" s="650"/>
      <c r="V335" s="650" t="s">
        <v>480</v>
      </c>
      <c r="W335" s="650"/>
    </row>
    <row r="336" spans="1:23" ht="13.5" customHeight="1">
      <c r="A336" s="648"/>
      <c r="B336" s="648"/>
      <c r="C336" s="577"/>
      <c r="D336" s="577" t="s">
        <v>525</v>
      </c>
      <c r="E336" s="651" t="s">
        <v>523</v>
      </c>
      <c r="F336" s="651"/>
      <c r="G336" s="650" t="s">
        <v>968</v>
      </c>
      <c r="H336" s="650"/>
      <c r="I336" s="582" t="s">
        <v>480</v>
      </c>
      <c r="J336" s="582" t="s">
        <v>480</v>
      </c>
      <c r="K336" s="582" t="s">
        <v>480</v>
      </c>
      <c r="L336" s="582" t="s">
        <v>480</v>
      </c>
      <c r="M336" s="582" t="s">
        <v>480</v>
      </c>
      <c r="N336" s="582" t="s">
        <v>480</v>
      </c>
      <c r="O336" s="582" t="s">
        <v>480</v>
      </c>
      <c r="P336" s="582" t="s">
        <v>480</v>
      </c>
      <c r="Q336" s="582" t="s">
        <v>480</v>
      </c>
      <c r="R336" s="582" t="s">
        <v>968</v>
      </c>
      <c r="S336" s="582" t="s">
        <v>968</v>
      </c>
      <c r="T336" s="650" t="s">
        <v>968</v>
      </c>
      <c r="U336" s="650"/>
      <c r="V336" s="650" t="s">
        <v>480</v>
      </c>
      <c r="W336" s="650"/>
    </row>
    <row r="337" spans="1:23" ht="13.5" customHeight="1">
      <c r="A337" s="648"/>
      <c r="B337" s="648"/>
      <c r="C337" s="577"/>
      <c r="D337" s="577" t="s">
        <v>527</v>
      </c>
      <c r="E337" s="651" t="s">
        <v>523</v>
      </c>
      <c r="F337" s="651"/>
      <c r="G337" s="650" t="s">
        <v>683</v>
      </c>
      <c r="H337" s="650"/>
      <c r="I337" s="582" t="s">
        <v>480</v>
      </c>
      <c r="J337" s="582" t="s">
        <v>480</v>
      </c>
      <c r="K337" s="582" t="s">
        <v>480</v>
      </c>
      <c r="L337" s="582" t="s">
        <v>480</v>
      </c>
      <c r="M337" s="582" t="s">
        <v>480</v>
      </c>
      <c r="N337" s="582" t="s">
        <v>480</v>
      </c>
      <c r="O337" s="582" t="s">
        <v>480</v>
      </c>
      <c r="P337" s="582" t="s">
        <v>480</v>
      </c>
      <c r="Q337" s="582" t="s">
        <v>480</v>
      </c>
      <c r="R337" s="582" t="s">
        <v>683</v>
      </c>
      <c r="S337" s="582" t="s">
        <v>683</v>
      </c>
      <c r="T337" s="650" t="s">
        <v>683</v>
      </c>
      <c r="U337" s="650"/>
      <c r="V337" s="650" t="s">
        <v>480</v>
      </c>
      <c r="W337" s="650"/>
    </row>
    <row r="338" spans="1:23" ht="13.5" customHeight="1">
      <c r="A338" s="648"/>
      <c r="B338" s="648"/>
      <c r="C338" s="577" t="s">
        <v>969</v>
      </c>
      <c r="D338" s="577"/>
      <c r="E338" s="651" t="s">
        <v>88</v>
      </c>
      <c r="F338" s="651"/>
      <c r="G338" s="650" t="s">
        <v>970</v>
      </c>
      <c r="H338" s="650"/>
      <c r="I338" s="582" t="s">
        <v>971</v>
      </c>
      <c r="J338" s="582" t="s">
        <v>971</v>
      </c>
      <c r="K338" s="582" t="s">
        <v>546</v>
      </c>
      <c r="L338" s="582" t="s">
        <v>972</v>
      </c>
      <c r="M338" s="582" t="s">
        <v>480</v>
      </c>
      <c r="N338" s="582" t="s">
        <v>480</v>
      </c>
      <c r="O338" s="582" t="s">
        <v>480</v>
      </c>
      <c r="P338" s="582" t="s">
        <v>480</v>
      </c>
      <c r="Q338" s="582" t="s">
        <v>480</v>
      </c>
      <c r="R338" s="582" t="s">
        <v>973</v>
      </c>
      <c r="S338" s="582" t="s">
        <v>973</v>
      </c>
      <c r="T338" s="650" t="s">
        <v>480</v>
      </c>
      <c r="U338" s="650"/>
      <c r="V338" s="650" t="s">
        <v>480</v>
      </c>
      <c r="W338" s="650"/>
    </row>
    <row r="339" spans="1:23" ht="13.5" customHeight="1">
      <c r="A339" s="648"/>
      <c r="B339" s="648"/>
      <c r="C339" s="577"/>
      <c r="D339" s="577" t="s">
        <v>696</v>
      </c>
      <c r="E339" s="651" t="s">
        <v>697</v>
      </c>
      <c r="F339" s="651"/>
      <c r="G339" s="650" t="s">
        <v>940</v>
      </c>
      <c r="H339" s="650"/>
      <c r="I339" s="582" t="s">
        <v>940</v>
      </c>
      <c r="J339" s="582" t="s">
        <v>940</v>
      </c>
      <c r="K339" s="582" t="s">
        <v>940</v>
      </c>
      <c r="L339" s="582" t="s">
        <v>480</v>
      </c>
      <c r="M339" s="582" t="s">
        <v>480</v>
      </c>
      <c r="N339" s="582" t="s">
        <v>480</v>
      </c>
      <c r="O339" s="582" t="s">
        <v>480</v>
      </c>
      <c r="P339" s="582" t="s">
        <v>480</v>
      </c>
      <c r="Q339" s="582" t="s">
        <v>480</v>
      </c>
      <c r="R339" s="582" t="s">
        <v>480</v>
      </c>
      <c r="S339" s="582" t="s">
        <v>480</v>
      </c>
      <c r="T339" s="650" t="s">
        <v>480</v>
      </c>
      <c r="U339" s="650"/>
      <c r="V339" s="650" t="s">
        <v>480</v>
      </c>
      <c r="W339" s="650"/>
    </row>
    <row r="340" spans="1:23" ht="13.5" customHeight="1">
      <c r="A340" s="648"/>
      <c r="B340" s="648"/>
      <c r="C340" s="577"/>
      <c r="D340" s="577" t="s">
        <v>608</v>
      </c>
      <c r="E340" s="651" t="s">
        <v>609</v>
      </c>
      <c r="F340" s="651"/>
      <c r="G340" s="650" t="s">
        <v>699</v>
      </c>
      <c r="H340" s="650"/>
      <c r="I340" s="582" t="s">
        <v>699</v>
      </c>
      <c r="J340" s="582" t="s">
        <v>699</v>
      </c>
      <c r="K340" s="582" t="s">
        <v>699</v>
      </c>
      <c r="L340" s="582" t="s">
        <v>480</v>
      </c>
      <c r="M340" s="582" t="s">
        <v>480</v>
      </c>
      <c r="N340" s="582" t="s">
        <v>480</v>
      </c>
      <c r="O340" s="582" t="s">
        <v>480</v>
      </c>
      <c r="P340" s="582" t="s">
        <v>480</v>
      </c>
      <c r="Q340" s="582" t="s">
        <v>480</v>
      </c>
      <c r="R340" s="582" t="s">
        <v>480</v>
      </c>
      <c r="S340" s="582" t="s">
        <v>480</v>
      </c>
      <c r="T340" s="650" t="s">
        <v>480</v>
      </c>
      <c r="U340" s="650"/>
      <c r="V340" s="650" t="s">
        <v>480</v>
      </c>
      <c r="W340" s="650"/>
    </row>
    <row r="341" spans="1:23" ht="13.5" customHeight="1">
      <c r="A341" s="648"/>
      <c r="B341" s="648"/>
      <c r="C341" s="577"/>
      <c r="D341" s="577" t="s">
        <v>611</v>
      </c>
      <c r="E341" s="651" t="s">
        <v>612</v>
      </c>
      <c r="F341" s="651"/>
      <c r="G341" s="650" t="s">
        <v>671</v>
      </c>
      <c r="H341" s="650"/>
      <c r="I341" s="582" t="s">
        <v>671</v>
      </c>
      <c r="J341" s="582" t="s">
        <v>671</v>
      </c>
      <c r="K341" s="582" t="s">
        <v>671</v>
      </c>
      <c r="L341" s="582" t="s">
        <v>480</v>
      </c>
      <c r="M341" s="582" t="s">
        <v>480</v>
      </c>
      <c r="N341" s="582" t="s">
        <v>480</v>
      </c>
      <c r="O341" s="582" t="s">
        <v>480</v>
      </c>
      <c r="P341" s="582" t="s">
        <v>480</v>
      </c>
      <c r="Q341" s="582" t="s">
        <v>480</v>
      </c>
      <c r="R341" s="582" t="s">
        <v>480</v>
      </c>
      <c r="S341" s="582" t="s">
        <v>480</v>
      </c>
      <c r="T341" s="650" t="s">
        <v>480</v>
      </c>
      <c r="U341" s="650"/>
      <c r="V341" s="650" t="s">
        <v>480</v>
      </c>
      <c r="W341" s="650"/>
    </row>
    <row r="342" spans="1:23" ht="13.5" customHeight="1">
      <c r="A342" s="648"/>
      <c r="B342" s="648"/>
      <c r="C342" s="577"/>
      <c r="D342" s="577" t="s">
        <v>558</v>
      </c>
      <c r="E342" s="651" t="s">
        <v>559</v>
      </c>
      <c r="F342" s="651"/>
      <c r="G342" s="650" t="s">
        <v>974</v>
      </c>
      <c r="H342" s="650"/>
      <c r="I342" s="582" t="s">
        <v>974</v>
      </c>
      <c r="J342" s="582" t="s">
        <v>974</v>
      </c>
      <c r="K342" s="582" t="s">
        <v>480</v>
      </c>
      <c r="L342" s="582" t="s">
        <v>974</v>
      </c>
      <c r="M342" s="582" t="s">
        <v>480</v>
      </c>
      <c r="N342" s="582" t="s">
        <v>480</v>
      </c>
      <c r="O342" s="582" t="s">
        <v>480</v>
      </c>
      <c r="P342" s="582" t="s">
        <v>480</v>
      </c>
      <c r="Q342" s="582" t="s">
        <v>480</v>
      </c>
      <c r="R342" s="582" t="s">
        <v>480</v>
      </c>
      <c r="S342" s="582" t="s">
        <v>480</v>
      </c>
      <c r="T342" s="650" t="s">
        <v>480</v>
      </c>
      <c r="U342" s="650"/>
      <c r="V342" s="650" t="s">
        <v>480</v>
      </c>
      <c r="W342" s="650"/>
    </row>
    <row r="343" spans="1:23" ht="13.5" customHeight="1">
      <c r="A343" s="648"/>
      <c r="B343" s="648"/>
      <c r="C343" s="577"/>
      <c r="D343" s="577" t="s">
        <v>486</v>
      </c>
      <c r="E343" s="651" t="s">
        <v>487</v>
      </c>
      <c r="F343" s="651"/>
      <c r="G343" s="650" t="s">
        <v>975</v>
      </c>
      <c r="H343" s="650"/>
      <c r="I343" s="582" t="s">
        <v>975</v>
      </c>
      <c r="J343" s="582" t="s">
        <v>975</v>
      </c>
      <c r="K343" s="582" t="s">
        <v>480</v>
      </c>
      <c r="L343" s="582" t="s">
        <v>975</v>
      </c>
      <c r="M343" s="582" t="s">
        <v>480</v>
      </c>
      <c r="N343" s="582" t="s">
        <v>480</v>
      </c>
      <c r="O343" s="582" t="s">
        <v>480</v>
      </c>
      <c r="P343" s="582" t="s">
        <v>480</v>
      </c>
      <c r="Q343" s="582" t="s">
        <v>480</v>
      </c>
      <c r="R343" s="582" t="s">
        <v>480</v>
      </c>
      <c r="S343" s="582" t="s">
        <v>480</v>
      </c>
      <c r="T343" s="650" t="s">
        <v>480</v>
      </c>
      <c r="U343" s="650"/>
      <c r="V343" s="650" t="s">
        <v>480</v>
      </c>
      <c r="W343" s="650"/>
    </row>
    <row r="344" spans="1:23" ht="13.5" customHeight="1">
      <c r="A344" s="648"/>
      <c r="B344" s="648"/>
      <c r="C344" s="577"/>
      <c r="D344" s="577" t="s">
        <v>522</v>
      </c>
      <c r="E344" s="651" t="s">
        <v>523</v>
      </c>
      <c r="F344" s="651"/>
      <c r="G344" s="650" t="s">
        <v>973</v>
      </c>
      <c r="H344" s="650"/>
      <c r="I344" s="582" t="s">
        <v>480</v>
      </c>
      <c r="J344" s="582" t="s">
        <v>480</v>
      </c>
      <c r="K344" s="582" t="s">
        <v>480</v>
      </c>
      <c r="L344" s="582" t="s">
        <v>480</v>
      </c>
      <c r="M344" s="582" t="s">
        <v>480</v>
      </c>
      <c r="N344" s="582" t="s">
        <v>480</v>
      </c>
      <c r="O344" s="582" t="s">
        <v>480</v>
      </c>
      <c r="P344" s="582" t="s">
        <v>480</v>
      </c>
      <c r="Q344" s="582" t="s">
        <v>480</v>
      </c>
      <c r="R344" s="582" t="s">
        <v>973</v>
      </c>
      <c r="S344" s="582" t="s">
        <v>973</v>
      </c>
      <c r="T344" s="650" t="s">
        <v>480</v>
      </c>
      <c r="U344" s="650"/>
      <c r="V344" s="650" t="s">
        <v>480</v>
      </c>
      <c r="W344" s="650"/>
    </row>
    <row r="345" spans="1:23" ht="13.5" customHeight="1">
      <c r="A345" s="648" t="s">
        <v>976</v>
      </c>
      <c r="B345" s="648"/>
      <c r="C345" s="577"/>
      <c r="D345" s="577"/>
      <c r="E345" s="651" t="s">
        <v>174</v>
      </c>
      <c r="F345" s="651"/>
      <c r="G345" s="650" t="s">
        <v>977</v>
      </c>
      <c r="H345" s="650"/>
      <c r="I345" s="582" t="s">
        <v>977</v>
      </c>
      <c r="J345" s="582" t="s">
        <v>978</v>
      </c>
      <c r="K345" s="582" t="s">
        <v>480</v>
      </c>
      <c r="L345" s="582" t="s">
        <v>978</v>
      </c>
      <c r="M345" s="582" t="s">
        <v>979</v>
      </c>
      <c r="N345" s="582" t="s">
        <v>480</v>
      </c>
      <c r="O345" s="582" t="s">
        <v>480</v>
      </c>
      <c r="P345" s="582" t="s">
        <v>480</v>
      </c>
      <c r="Q345" s="582" t="s">
        <v>480</v>
      </c>
      <c r="R345" s="582" t="s">
        <v>480</v>
      </c>
      <c r="S345" s="582" t="s">
        <v>480</v>
      </c>
      <c r="T345" s="650" t="s">
        <v>480</v>
      </c>
      <c r="U345" s="650"/>
      <c r="V345" s="650" t="s">
        <v>480</v>
      </c>
      <c r="W345" s="650"/>
    </row>
    <row r="346" spans="1:23" ht="13.5" customHeight="1">
      <c r="A346" s="648"/>
      <c r="B346" s="648"/>
      <c r="C346" s="577" t="s">
        <v>980</v>
      </c>
      <c r="D346" s="577"/>
      <c r="E346" s="651" t="s">
        <v>175</v>
      </c>
      <c r="F346" s="651"/>
      <c r="G346" s="650" t="s">
        <v>981</v>
      </c>
      <c r="H346" s="650"/>
      <c r="I346" s="582" t="s">
        <v>981</v>
      </c>
      <c r="J346" s="582" t="s">
        <v>981</v>
      </c>
      <c r="K346" s="582" t="s">
        <v>480</v>
      </c>
      <c r="L346" s="582" t="s">
        <v>981</v>
      </c>
      <c r="M346" s="582" t="s">
        <v>480</v>
      </c>
      <c r="N346" s="582" t="s">
        <v>480</v>
      </c>
      <c r="O346" s="582" t="s">
        <v>480</v>
      </c>
      <c r="P346" s="582" t="s">
        <v>480</v>
      </c>
      <c r="Q346" s="582" t="s">
        <v>480</v>
      </c>
      <c r="R346" s="582" t="s">
        <v>480</v>
      </c>
      <c r="S346" s="582" t="s">
        <v>480</v>
      </c>
      <c r="T346" s="650" t="s">
        <v>480</v>
      </c>
      <c r="U346" s="650"/>
      <c r="V346" s="650" t="s">
        <v>480</v>
      </c>
      <c r="W346" s="650"/>
    </row>
    <row r="347" spans="1:23" ht="13.5" customHeight="1">
      <c r="A347" s="648"/>
      <c r="B347" s="648"/>
      <c r="C347" s="577"/>
      <c r="D347" s="577" t="s">
        <v>483</v>
      </c>
      <c r="E347" s="651" t="s">
        <v>484</v>
      </c>
      <c r="F347" s="651"/>
      <c r="G347" s="650" t="s">
        <v>676</v>
      </c>
      <c r="H347" s="650"/>
      <c r="I347" s="582" t="s">
        <v>676</v>
      </c>
      <c r="J347" s="582" t="s">
        <v>676</v>
      </c>
      <c r="K347" s="582" t="s">
        <v>480</v>
      </c>
      <c r="L347" s="582" t="s">
        <v>676</v>
      </c>
      <c r="M347" s="582" t="s">
        <v>480</v>
      </c>
      <c r="N347" s="582" t="s">
        <v>480</v>
      </c>
      <c r="O347" s="582" t="s">
        <v>480</v>
      </c>
      <c r="P347" s="582" t="s">
        <v>480</v>
      </c>
      <c r="Q347" s="582" t="s">
        <v>480</v>
      </c>
      <c r="R347" s="582" t="s">
        <v>480</v>
      </c>
      <c r="S347" s="582" t="s">
        <v>480</v>
      </c>
      <c r="T347" s="650" t="s">
        <v>480</v>
      </c>
      <c r="U347" s="650"/>
      <c r="V347" s="650" t="s">
        <v>480</v>
      </c>
      <c r="W347" s="650"/>
    </row>
    <row r="348" spans="1:23" ht="13.5" customHeight="1">
      <c r="A348" s="648"/>
      <c r="B348" s="648"/>
      <c r="C348" s="577"/>
      <c r="D348" s="577" t="s">
        <v>486</v>
      </c>
      <c r="E348" s="651" t="s">
        <v>487</v>
      </c>
      <c r="F348" s="651"/>
      <c r="G348" s="650" t="s">
        <v>982</v>
      </c>
      <c r="H348" s="650"/>
      <c r="I348" s="582" t="s">
        <v>982</v>
      </c>
      <c r="J348" s="582" t="s">
        <v>982</v>
      </c>
      <c r="K348" s="582" t="s">
        <v>480</v>
      </c>
      <c r="L348" s="582" t="s">
        <v>982</v>
      </c>
      <c r="M348" s="582" t="s">
        <v>480</v>
      </c>
      <c r="N348" s="582" t="s">
        <v>480</v>
      </c>
      <c r="O348" s="582" t="s">
        <v>480</v>
      </c>
      <c r="P348" s="582" t="s">
        <v>480</v>
      </c>
      <c r="Q348" s="582" t="s">
        <v>480</v>
      </c>
      <c r="R348" s="582" t="s">
        <v>480</v>
      </c>
      <c r="S348" s="582" t="s">
        <v>480</v>
      </c>
      <c r="T348" s="650" t="s">
        <v>480</v>
      </c>
      <c r="U348" s="650"/>
      <c r="V348" s="650" t="s">
        <v>480</v>
      </c>
      <c r="W348" s="650"/>
    </row>
    <row r="349" spans="1:23" ht="13.5" customHeight="1">
      <c r="A349" s="648"/>
      <c r="B349" s="648"/>
      <c r="C349" s="577" t="s">
        <v>983</v>
      </c>
      <c r="D349" s="577"/>
      <c r="E349" s="651" t="s">
        <v>218</v>
      </c>
      <c r="F349" s="651"/>
      <c r="G349" s="650" t="s">
        <v>984</v>
      </c>
      <c r="H349" s="650"/>
      <c r="I349" s="582" t="s">
        <v>984</v>
      </c>
      <c r="J349" s="582" t="s">
        <v>480</v>
      </c>
      <c r="K349" s="582" t="s">
        <v>480</v>
      </c>
      <c r="L349" s="582" t="s">
        <v>480</v>
      </c>
      <c r="M349" s="582" t="s">
        <v>984</v>
      </c>
      <c r="N349" s="582" t="s">
        <v>480</v>
      </c>
      <c r="O349" s="582" t="s">
        <v>480</v>
      </c>
      <c r="P349" s="582" t="s">
        <v>480</v>
      </c>
      <c r="Q349" s="582" t="s">
        <v>480</v>
      </c>
      <c r="R349" s="582" t="s">
        <v>480</v>
      </c>
      <c r="S349" s="582" t="s">
        <v>480</v>
      </c>
      <c r="T349" s="650" t="s">
        <v>480</v>
      </c>
      <c r="U349" s="650"/>
      <c r="V349" s="650" t="s">
        <v>480</v>
      </c>
      <c r="W349" s="650"/>
    </row>
    <row r="350" spans="1:23" ht="17.25" customHeight="1">
      <c r="A350" s="648"/>
      <c r="B350" s="648"/>
      <c r="C350" s="577"/>
      <c r="D350" s="577" t="s">
        <v>985</v>
      </c>
      <c r="E350" s="651" t="s">
        <v>986</v>
      </c>
      <c r="F350" s="651"/>
      <c r="G350" s="650" t="s">
        <v>984</v>
      </c>
      <c r="H350" s="650"/>
      <c r="I350" s="582" t="s">
        <v>984</v>
      </c>
      <c r="J350" s="582" t="s">
        <v>480</v>
      </c>
      <c r="K350" s="582" t="s">
        <v>480</v>
      </c>
      <c r="L350" s="582" t="s">
        <v>480</v>
      </c>
      <c r="M350" s="582" t="s">
        <v>984</v>
      </c>
      <c r="N350" s="582" t="s">
        <v>480</v>
      </c>
      <c r="O350" s="582" t="s">
        <v>480</v>
      </c>
      <c r="P350" s="582" t="s">
        <v>480</v>
      </c>
      <c r="Q350" s="582" t="s">
        <v>480</v>
      </c>
      <c r="R350" s="582" t="s">
        <v>480</v>
      </c>
      <c r="S350" s="582" t="s">
        <v>480</v>
      </c>
      <c r="T350" s="650" t="s">
        <v>480</v>
      </c>
      <c r="U350" s="650"/>
      <c r="V350" s="650" t="s">
        <v>480</v>
      </c>
      <c r="W350" s="650"/>
    </row>
    <row r="351" spans="1:23" ht="13.5" customHeight="1">
      <c r="A351" s="648"/>
      <c r="B351" s="648"/>
      <c r="C351" s="577" t="s">
        <v>987</v>
      </c>
      <c r="D351" s="577"/>
      <c r="E351" s="651" t="s">
        <v>988</v>
      </c>
      <c r="F351" s="651"/>
      <c r="G351" s="650" t="s">
        <v>989</v>
      </c>
      <c r="H351" s="650"/>
      <c r="I351" s="582" t="s">
        <v>989</v>
      </c>
      <c r="J351" s="582" t="s">
        <v>480</v>
      </c>
      <c r="K351" s="582" t="s">
        <v>480</v>
      </c>
      <c r="L351" s="582" t="s">
        <v>480</v>
      </c>
      <c r="M351" s="582" t="s">
        <v>989</v>
      </c>
      <c r="N351" s="582" t="s">
        <v>480</v>
      </c>
      <c r="O351" s="582" t="s">
        <v>480</v>
      </c>
      <c r="P351" s="582" t="s">
        <v>480</v>
      </c>
      <c r="Q351" s="582" t="s">
        <v>480</v>
      </c>
      <c r="R351" s="582" t="s">
        <v>480</v>
      </c>
      <c r="S351" s="582" t="s">
        <v>480</v>
      </c>
      <c r="T351" s="650" t="s">
        <v>480</v>
      </c>
      <c r="U351" s="650"/>
      <c r="V351" s="650" t="s">
        <v>480</v>
      </c>
      <c r="W351" s="650"/>
    </row>
    <row r="352" spans="1:23" ht="17.25" customHeight="1">
      <c r="A352" s="648"/>
      <c r="B352" s="648"/>
      <c r="C352" s="577"/>
      <c r="D352" s="577" t="s">
        <v>985</v>
      </c>
      <c r="E352" s="651" t="s">
        <v>986</v>
      </c>
      <c r="F352" s="651"/>
      <c r="G352" s="650" t="s">
        <v>989</v>
      </c>
      <c r="H352" s="650"/>
      <c r="I352" s="582" t="s">
        <v>989</v>
      </c>
      <c r="J352" s="582" t="s">
        <v>480</v>
      </c>
      <c r="K352" s="582" t="s">
        <v>480</v>
      </c>
      <c r="L352" s="582" t="s">
        <v>480</v>
      </c>
      <c r="M352" s="582" t="s">
        <v>989</v>
      </c>
      <c r="N352" s="582" t="s">
        <v>480</v>
      </c>
      <c r="O352" s="582" t="s">
        <v>480</v>
      </c>
      <c r="P352" s="582" t="s">
        <v>480</v>
      </c>
      <c r="Q352" s="582" t="s">
        <v>480</v>
      </c>
      <c r="R352" s="582" t="s">
        <v>480</v>
      </c>
      <c r="S352" s="582" t="s">
        <v>480</v>
      </c>
      <c r="T352" s="650" t="s">
        <v>480</v>
      </c>
      <c r="U352" s="650"/>
      <c r="V352" s="650" t="s">
        <v>480</v>
      </c>
      <c r="W352" s="650"/>
    </row>
    <row r="353" spans="1:23" ht="13.5" customHeight="1">
      <c r="A353" s="648"/>
      <c r="B353" s="648"/>
      <c r="C353" s="577" t="s">
        <v>990</v>
      </c>
      <c r="D353" s="577"/>
      <c r="E353" s="651" t="s">
        <v>88</v>
      </c>
      <c r="F353" s="651"/>
      <c r="G353" s="650" t="s">
        <v>991</v>
      </c>
      <c r="H353" s="650"/>
      <c r="I353" s="582" t="s">
        <v>991</v>
      </c>
      <c r="J353" s="582" t="s">
        <v>991</v>
      </c>
      <c r="K353" s="582" t="s">
        <v>480</v>
      </c>
      <c r="L353" s="582" t="s">
        <v>991</v>
      </c>
      <c r="M353" s="582" t="s">
        <v>480</v>
      </c>
      <c r="N353" s="582" t="s">
        <v>480</v>
      </c>
      <c r="O353" s="582" t="s">
        <v>480</v>
      </c>
      <c r="P353" s="582" t="s">
        <v>480</v>
      </c>
      <c r="Q353" s="582" t="s">
        <v>480</v>
      </c>
      <c r="R353" s="582" t="s">
        <v>480</v>
      </c>
      <c r="S353" s="582" t="s">
        <v>480</v>
      </c>
      <c r="T353" s="650" t="s">
        <v>480</v>
      </c>
      <c r="U353" s="650"/>
      <c r="V353" s="650" t="s">
        <v>480</v>
      </c>
      <c r="W353" s="650"/>
    </row>
    <row r="354" spans="1:23" ht="13.5" customHeight="1">
      <c r="A354" s="648"/>
      <c r="B354" s="648"/>
      <c r="C354" s="577"/>
      <c r="D354" s="577" t="s">
        <v>483</v>
      </c>
      <c r="E354" s="651" t="s">
        <v>484</v>
      </c>
      <c r="F354" s="651"/>
      <c r="G354" s="650" t="s">
        <v>992</v>
      </c>
      <c r="H354" s="650"/>
      <c r="I354" s="582" t="s">
        <v>992</v>
      </c>
      <c r="J354" s="582" t="s">
        <v>992</v>
      </c>
      <c r="K354" s="582" t="s">
        <v>480</v>
      </c>
      <c r="L354" s="582" t="s">
        <v>992</v>
      </c>
      <c r="M354" s="582" t="s">
        <v>480</v>
      </c>
      <c r="N354" s="582" t="s">
        <v>480</v>
      </c>
      <c r="O354" s="582" t="s">
        <v>480</v>
      </c>
      <c r="P354" s="582" t="s">
        <v>480</v>
      </c>
      <c r="Q354" s="582" t="s">
        <v>480</v>
      </c>
      <c r="R354" s="582" t="s">
        <v>480</v>
      </c>
      <c r="S354" s="582" t="s">
        <v>480</v>
      </c>
      <c r="T354" s="650" t="s">
        <v>480</v>
      </c>
      <c r="U354" s="650"/>
      <c r="V354" s="650" t="s">
        <v>480</v>
      </c>
      <c r="W354" s="650"/>
    </row>
    <row r="355" spans="1:23" ht="13.5" customHeight="1">
      <c r="A355" s="648"/>
      <c r="B355" s="648"/>
      <c r="C355" s="577"/>
      <c r="D355" s="577" t="s">
        <v>558</v>
      </c>
      <c r="E355" s="651" t="s">
        <v>559</v>
      </c>
      <c r="F355" s="651"/>
      <c r="G355" s="650" t="s">
        <v>993</v>
      </c>
      <c r="H355" s="650"/>
      <c r="I355" s="582" t="s">
        <v>993</v>
      </c>
      <c r="J355" s="582" t="s">
        <v>993</v>
      </c>
      <c r="K355" s="582" t="s">
        <v>480</v>
      </c>
      <c r="L355" s="582" t="s">
        <v>993</v>
      </c>
      <c r="M355" s="582" t="s">
        <v>480</v>
      </c>
      <c r="N355" s="582" t="s">
        <v>480</v>
      </c>
      <c r="O355" s="582" t="s">
        <v>480</v>
      </c>
      <c r="P355" s="582" t="s">
        <v>480</v>
      </c>
      <c r="Q355" s="582" t="s">
        <v>480</v>
      </c>
      <c r="R355" s="582" t="s">
        <v>480</v>
      </c>
      <c r="S355" s="582" t="s">
        <v>480</v>
      </c>
      <c r="T355" s="650" t="s">
        <v>480</v>
      </c>
      <c r="U355" s="650"/>
      <c r="V355" s="650" t="s">
        <v>480</v>
      </c>
      <c r="W355" s="650"/>
    </row>
    <row r="356" spans="1:23" ht="13.5" customHeight="1">
      <c r="A356" s="648"/>
      <c r="B356" s="648"/>
      <c r="C356" s="577"/>
      <c r="D356" s="577" t="s">
        <v>517</v>
      </c>
      <c r="E356" s="651" t="s">
        <v>518</v>
      </c>
      <c r="F356" s="651"/>
      <c r="G356" s="650" t="s">
        <v>853</v>
      </c>
      <c r="H356" s="650"/>
      <c r="I356" s="582" t="s">
        <v>853</v>
      </c>
      <c r="J356" s="582" t="s">
        <v>853</v>
      </c>
      <c r="K356" s="582" t="s">
        <v>480</v>
      </c>
      <c r="L356" s="582" t="s">
        <v>853</v>
      </c>
      <c r="M356" s="582" t="s">
        <v>480</v>
      </c>
      <c r="N356" s="582" t="s">
        <v>480</v>
      </c>
      <c r="O356" s="582" t="s">
        <v>480</v>
      </c>
      <c r="P356" s="582" t="s">
        <v>480</v>
      </c>
      <c r="Q356" s="582" t="s">
        <v>480</v>
      </c>
      <c r="R356" s="582" t="s">
        <v>480</v>
      </c>
      <c r="S356" s="582" t="s">
        <v>480</v>
      </c>
      <c r="T356" s="650" t="s">
        <v>480</v>
      </c>
      <c r="U356" s="650"/>
      <c r="V356" s="650" t="s">
        <v>480</v>
      </c>
      <c r="W356" s="650"/>
    </row>
    <row r="357" spans="1:23" ht="13.5" customHeight="1">
      <c r="A357" s="648"/>
      <c r="B357" s="648"/>
      <c r="C357" s="577"/>
      <c r="D357" s="577" t="s">
        <v>486</v>
      </c>
      <c r="E357" s="651" t="s">
        <v>487</v>
      </c>
      <c r="F357" s="651"/>
      <c r="G357" s="650" t="s">
        <v>994</v>
      </c>
      <c r="H357" s="650"/>
      <c r="I357" s="582" t="s">
        <v>994</v>
      </c>
      <c r="J357" s="582" t="s">
        <v>994</v>
      </c>
      <c r="K357" s="582" t="s">
        <v>480</v>
      </c>
      <c r="L357" s="582" t="s">
        <v>994</v>
      </c>
      <c r="M357" s="582" t="s">
        <v>480</v>
      </c>
      <c r="N357" s="582" t="s">
        <v>480</v>
      </c>
      <c r="O357" s="582" t="s">
        <v>480</v>
      </c>
      <c r="P357" s="582" t="s">
        <v>480</v>
      </c>
      <c r="Q357" s="582" t="s">
        <v>480</v>
      </c>
      <c r="R357" s="582" t="s">
        <v>480</v>
      </c>
      <c r="S357" s="582" t="s">
        <v>480</v>
      </c>
      <c r="T357" s="650" t="s">
        <v>480</v>
      </c>
      <c r="U357" s="650"/>
      <c r="V357" s="650" t="s">
        <v>480</v>
      </c>
      <c r="W357" s="650"/>
    </row>
    <row r="358" spans="1:23" ht="13.5" customHeight="1">
      <c r="A358" s="648" t="s">
        <v>995</v>
      </c>
      <c r="B358" s="648"/>
      <c r="C358" s="577"/>
      <c r="D358" s="577"/>
      <c r="E358" s="651" t="s">
        <v>996</v>
      </c>
      <c r="F358" s="651"/>
      <c r="G358" s="654" t="s">
        <v>997</v>
      </c>
      <c r="H358" s="654"/>
      <c r="I358" s="584" t="s">
        <v>998</v>
      </c>
      <c r="J358" s="584">
        <f>456000-456000</f>
        <v>0</v>
      </c>
      <c r="K358" s="584" t="s">
        <v>480</v>
      </c>
      <c r="L358" s="584">
        <f>456000-456000</f>
        <v>0</v>
      </c>
      <c r="M358" s="584">
        <f>500000+456000</f>
        <v>956000</v>
      </c>
      <c r="N358" s="584" t="s">
        <v>480</v>
      </c>
      <c r="O358" s="584" t="s">
        <v>480</v>
      </c>
      <c r="P358" s="584" t="s">
        <v>480</v>
      </c>
      <c r="Q358" s="584" t="s">
        <v>480</v>
      </c>
      <c r="R358" s="584" t="s">
        <v>999</v>
      </c>
      <c r="S358" s="584" t="s">
        <v>999</v>
      </c>
      <c r="T358" s="654" t="s">
        <v>480</v>
      </c>
      <c r="U358" s="654"/>
      <c r="V358" s="654" t="s">
        <v>480</v>
      </c>
      <c r="W358" s="654"/>
    </row>
    <row r="359" spans="1:23" ht="13.5" customHeight="1">
      <c r="A359" s="648"/>
      <c r="B359" s="648"/>
      <c r="C359" s="577" t="s">
        <v>1000</v>
      </c>
      <c r="D359" s="577"/>
      <c r="E359" s="651" t="s">
        <v>179</v>
      </c>
      <c r="F359" s="651"/>
      <c r="G359" s="654" t="s">
        <v>658</v>
      </c>
      <c r="H359" s="654"/>
      <c r="I359" s="584" t="s">
        <v>541</v>
      </c>
      <c r="J359" s="584" t="s">
        <v>480</v>
      </c>
      <c r="K359" s="584" t="s">
        <v>480</v>
      </c>
      <c r="L359" s="584" t="s">
        <v>480</v>
      </c>
      <c r="M359" s="584" t="s">
        <v>541</v>
      </c>
      <c r="N359" s="584" t="s">
        <v>480</v>
      </c>
      <c r="O359" s="584" t="s">
        <v>480</v>
      </c>
      <c r="P359" s="584" t="s">
        <v>480</v>
      </c>
      <c r="Q359" s="584" t="s">
        <v>480</v>
      </c>
      <c r="R359" s="584" t="s">
        <v>999</v>
      </c>
      <c r="S359" s="584" t="s">
        <v>999</v>
      </c>
      <c r="T359" s="654" t="s">
        <v>480</v>
      </c>
      <c r="U359" s="654"/>
      <c r="V359" s="654" t="s">
        <v>480</v>
      </c>
      <c r="W359" s="654"/>
    </row>
    <row r="360" spans="1:23" ht="17.25" customHeight="1">
      <c r="A360" s="648"/>
      <c r="B360" s="648"/>
      <c r="C360" s="577"/>
      <c r="D360" s="577" t="s">
        <v>1001</v>
      </c>
      <c r="E360" s="651" t="s">
        <v>1002</v>
      </c>
      <c r="F360" s="651"/>
      <c r="G360" s="654" t="s">
        <v>541</v>
      </c>
      <c r="H360" s="654"/>
      <c r="I360" s="584" t="s">
        <v>541</v>
      </c>
      <c r="J360" s="584" t="s">
        <v>480</v>
      </c>
      <c r="K360" s="584" t="s">
        <v>480</v>
      </c>
      <c r="L360" s="584" t="s">
        <v>480</v>
      </c>
      <c r="M360" s="584" t="s">
        <v>541</v>
      </c>
      <c r="N360" s="584" t="s">
        <v>480</v>
      </c>
      <c r="O360" s="584" t="s">
        <v>480</v>
      </c>
      <c r="P360" s="584" t="s">
        <v>480</v>
      </c>
      <c r="Q360" s="584" t="s">
        <v>480</v>
      </c>
      <c r="R360" s="584" t="s">
        <v>480</v>
      </c>
      <c r="S360" s="584" t="s">
        <v>480</v>
      </c>
      <c r="T360" s="654" t="s">
        <v>480</v>
      </c>
      <c r="U360" s="654"/>
      <c r="V360" s="654" t="s">
        <v>480</v>
      </c>
      <c r="W360" s="654"/>
    </row>
    <row r="361" spans="1:23" ht="13.5" customHeight="1">
      <c r="A361" s="648"/>
      <c r="B361" s="648"/>
      <c r="C361" s="577"/>
      <c r="D361" s="577" t="s">
        <v>522</v>
      </c>
      <c r="E361" s="651" t="s">
        <v>523</v>
      </c>
      <c r="F361" s="651"/>
      <c r="G361" s="654" t="s">
        <v>999</v>
      </c>
      <c r="H361" s="654"/>
      <c r="I361" s="584" t="s">
        <v>480</v>
      </c>
      <c r="J361" s="584" t="s">
        <v>480</v>
      </c>
      <c r="K361" s="584" t="s">
        <v>480</v>
      </c>
      <c r="L361" s="584" t="s">
        <v>480</v>
      </c>
      <c r="M361" s="584" t="s">
        <v>480</v>
      </c>
      <c r="N361" s="584" t="s">
        <v>480</v>
      </c>
      <c r="O361" s="584" t="s">
        <v>480</v>
      </c>
      <c r="P361" s="584" t="s">
        <v>480</v>
      </c>
      <c r="Q361" s="584" t="s">
        <v>480</v>
      </c>
      <c r="R361" s="584" t="s">
        <v>999</v>
      </c>
      <c r="S361" s="584" t="s">
        <v>999</v>
      </c>
      <c r="T361" s="654" t="s">
        <v>480</v>
      </c>
      <c r="U361" s="654"/>
      <c r="V361" s="654" t="s">
        <v>480</v>
      </c>
      <c r="W361" s="654"/>
    </row>
    <row r="362" spans="1:23" ht="13.5" customHeight="1">
      <c r="A362" s="648"/>
      <c r="B362" s="648"/>
      <c r="C362" s="577" t="s">
        <v>1003</v>
      </c>
      <c r="D362" s="577"/>
      <c r="E362" s="651" t="s">
        <v>1004</v>
      </c>
      <c r="F362" s="651"/>
      <c r="G362" s="654" t="s">
        <v>1005</v>
      </c>
      <c r="H362" s="654"/>
      <c r="I362" s="584" t="s">
        <v>1005</v>
      </c>
      <c r="J362" s="584">
        <f>456000-456000</f>
        <v>0</v>
      </c>
      <c r="K362" s="584" t="s">
        <v>480</v>
      </c>
      <c r="L362" s="584">
        <f>456000-456000</f>
        <v>0</v>
      </c>
      <c r="M362" s="584">
        <v>456000</v>
      </c>
      <c r="N362" s="584" t="s">
        <v>480</v>
      </c>
      <c r="O362" s="584" t="s">
        <v>480</v>
      </c>
      <c r="P362" s="584" t="s">
        <v>480</v>
      </c>
      <c r="Q362" s="584" t="s">
        <v>480</v>
      </c>
      <c r="R362" s="584" t="s">
        <v>480</v>
      </c>
      <c r="S362" s="584" t="s">
        <v>480</v>
      </c>
      <c r="T362" s="654" t="s">
        <v>480</v>
      </c>
      <c r="U362" s="654"/>
      <c r="V362" s="654" t="s">
        <v>480</v>
      </c>
      <c r="W362" s="654"/>
    </row>
    <row r="363" spans="1:23" ht="42" customHeight="1">
      <c r="A363" s="648"/>
      <c r="B363" s="648"/>
      <c r="C363" s="577"/>
      <c r="D363" s="577" t="s">
        <v>1006</v>
      </c>
      <c r="E363" s="651" t="s">
        <v>1007</v>
      </c>
      <c r="F363" s="651"/>
      <c r="G363" s="654" t="s">
        <v>1005</v>
      </c>
      <c r="H363" s="654"/>
      <c r="I363" s="584" t="s">
        <v>1005</v>
      </c>
      <c r="J363" s="584">
        <f>456000-456000</f>
        <v>0</v>
      </c>
      <c r="K363" s="584" t="s">
        <v>480</v>
      </c>
      <c r="L363" s="584">
        <f>456000-456000</f>
        <v>0</v>
      </c>
      <c r="M363" s="584">
        <v>456000</v>
      </c>
      <c r="N363" s="584" t="s">
        <v>480</v>
      </c>
      <c r="O363" s="584" t="s">
        <v>480</v>
      </c>
      <c r="P363" s="584" t="s">
        <v>480</v>
      </c>
      <c r="Q363" s="584" t="s">
        <v>480</v>
      </c>
      <c r="R363" s="584" t="s">
        <v>480</v>
      </c>
      <c r="S363" s="584" t="s">
        <v>480</v>
      </c>
      <c r="T363" s="654" t="s">
        <v>480</v>
      </c>
      <c r="U363" s="654"/>
      <c r="V363" s="654" t="s">
        <v>480</v>
      </c>
      <c r="W363" s="654"/>
    </row>
    <row r="364" spans="1:26" ht="13.5" customHeight="1">
      <c r="A364" s="652" t="s">
        <v>489</v>
      </c>
      <c r="B364" s="652"/>
      <c r="C364" s="652"/>
      <c r="D364" s="652"/>
      <c r="E364" s="652"/>
      <c r="F364" s="652"/>
      <c r="G364" s="656">
        <f>54563941+170000</f>
        <v>54733941</v>
      </c>
      <c r="H364" s="656"/>
      <c r="I364" s="586" t="s">
        <v>1008</v>
      </c>
      <c r="J364" s="586">
        <f>35913052-456000</f>
        <v>35457052</v>
      </c>
      <c r="K364" s="586" t="s">
        <v>1009</v>
      </c>
      <c r="L364" s="586">
        <f>16730107-456000</f>
        <v>16274107</v>
      </c>
      <c r="M364" s="586">
        <f>3833500+456000</f>
        <v>4289500</v>
      </c>
      <c r="N364" s="586" t="s">
        <v>1010</v>
      </c>
      <c r="O364" s="586" t="s">
        <v>721</v>
      </c>
      <c r="P364" s="586" t="s">
        <v>480</v>
      </c>
      <c r="Q364" s="586" t="s">
        <v>702</v>
      </c>
      <c r="R364" s="586">
        <f>10615143+170000</f>
        <v>10785143</v>
      </c>
      <c r="S364" s="586">
        <f>8686143+170000</f>
        <v>8856143</v>
      </c>
      <c r="T364" s="656" t="s">
        <v>1011</v>
      </c>
      <c r="U364" s="656"/>
      <c r="V364" s="656" t="s">
        <v>1012</v>
      </c>
      <c r="W364" s="656"/>
      <c r="X364" s="576"/>
      <c r="Y364" s="576"/>
      <c r="Z364" s="576"/>
    </row>
    <row r="365" spans="2:23" ht="13.5" customHeight="1">
      <c r="B365" s="645" t="s">
        <v>447</v>
      </c>
      <c r="C365" s="645"/>
      <c r="D365" s="645"/>
      <c r="E365" s="645"/>
      <c r="F365" s="646" t="s">
        <v>1013</v>
      </c>
      <c r="G365" s="646"/>
      <c r="H365" s="647"/>
      <c r="I365" s="647"/>
      <c r="J365" s="647"/>
      <c r="K365" s="647"/>
      <c r="L365" s="647"/>
      <c r="M365" s="647"/>
      <c r="N365" s="647"/>
      <c r="O365" s="647"/>
      <c r="P365" s="647"/>
      <c r="Q365" s="647"/>
      <c r="R365" s="647"/>
      <c r="S365" s="647"/>
      <c r="T365" s="647"/>
      <c r="U365" s="647"/>
      <c r="V365" s="647"/>
      <c r="W365" s="647"/>
    </row>
    <row r="366" spans="1:23" ht="8.25" customHeight="1">
      <c r="A366" s="648" t="s">
        <v>3</v>
      </c>
      <c r="B366" s="648"/>
      <c r="C366" s="648" t="s">
        <v>4</v>
      </c>
      <c r="D366" s="648" t="s">
        <v>5</v>
      </c>
      <c r="E366" s="648" t="s">
        <v>13</v>
      </c>
      <c r="F366" s="648"/>
      <c r="G366" s="648" t="s">
        <v>338</v>
      </c>
      <c r="H366" s="648"/>
      <c r="I366" s="648" t="s">
        <v>449</v>
      </c>
      <c r="J366" s="648"/>
      <c r="K366" s="648"/>
      <c r="L366" s="648"/>
      <c r="M366" s="648"/>
      <c r="N366" s="648"/>
      <c r="O366" s="648"/>
      <c r="P366" s="648"/>
      <c r="Q366" s="648"/>
      <c r="R366" s="648"/>
      <c r="S366" s="648"/>
      <c r="T366" s="648"/>
      <c r="U366" s="648"/>
      <c r="V366" s="648"/>
      <c r="W366" s="648"/>
    </row>
    <row r="367" spans="1:23" ht="11.25" customHeight="1">
      <c r="A367" s="648"/>
      <c r="B367" s="648"/>
      <c r="C367" s="648"/>
      <c r="D367" s="648"/>
      <c r="E367" s="648"/>
      <c r="F367" s="648"/>
      <c r="G367" s="648"/>
      <c r="H367" s="648"/>
      <c r="I367" s="648" t="s">
        <v>450</v>
      </c>
      <c r="J367" s="648" t="s">
        <v>22</v>
      </c>
      <c r="K367" s="648"/>
      <c r="L367" s="648"/>
      <c r="M367" s="648"/>
      <c r="N367" s="648"/>
      <c r="O367" s="648"/>
      <c r="P367" s="648"/>
      <c r="Q367" s="648"/>
      <c r="R367" s="648" t="s">
        <v>451</v>
      </c>
      <c r="S367" s="648" t="s">
        <v>22</v>
      </c>
      <c r="T367" s="648"/>
      <c r="U367" s="648"/>
      <c r="V367" s="648"/>
      <c r="W367" s="648"/>
    </row>
    <row r="368" spans="1:23" ht="2.25" customHeight="1">
      <c r="A368" s="648"/>
      <c r="B368" s="648"/>
      <c r="C368" s="648"/>
      <c r="D368" s="648"/>
      <c r="E368" s="648"/>
      <c r="F368" s="648"/>
      <c r="G368" s="648"/>
      <c r="H368" s="648"/>
      <c r="I368" s="648"/>
      <c r="J368" s="648"/>
      <c r="K368" s="648"/>
      <c r="L368" s="648"/>
      <c r="M368" s="648"/>
      <c r="N368" s="648"/>
      <c r="O368" s="648"/>
      <c r="P368" s="648"/>
      <c r="Q368" s="648"/>
      <c r="R368" s="648"/>
      <c r="S368" s="648" t="s">
        <v>299</v>
      </c>
      <c r="T368" s="648" t="s">
        <v>7</v>
      </c>
      <c r="U368" s="648"/>
      <c r="V368" s="648" t="s">
        <v>300</v>
      </c>
      <c r="W368" s="648"/>
    </row>
    <row r="369" spans="1:23" ht="5.25" customHeight="1">
      <c r="A369" s="648"/>
      <c r="B369" s="648"/>
      <c r="C369" s="648"/>
      <c r="D369" s="648"/>
      <c r="E369" s="648"/>
      <c r="F369" s="648"/>
      <c r="G369" s="648"/>
      <c r="H369" s="648"/>
      <c r="I369" s="648"/>
      <c r="J369" s="648" t="s">
        <v>297</v>
      </c>
      <c r="K369" s="648" t="s">
        <v>22</v>
      </c>
      <c r="L369" s="648"/>
      <c r="M369" s="648" t="s">
        <v>452</v>
      </c>
      <c r="N369" s="648" t="s">
        <v>453</v>
      </c>
      <c r="O369" s="648" t="s">
        <v>454</v>
      </c>
      <c r="P369" s="648" t="s">
        <v>455</v>
      </c>
      <c r="Q369" s="648" t="s">
        <v>456</v>
      </c>
      <c r="R369" s="648"/>
      <c r="S369" s="648"/>
      <c r="T369" s="648"/>
      <c r="U369" s="648"/>
      <c r="V369" s="648"/>
      <c r="W369" s="648"/>
    </row>
    <row r="370" spans="1:23" ht="2.25" customHeight="1">
      <c r="A370" s="648"/>
      <c r="B370" s="648"/>
      <c r="C370" s="648"/>
      <c r="D370" s="648"/>
      <c r="E370" s="648"/>
      <c r="F370" s="648"/>
      <c r="G370" s="648"/>
      <c r="H370" s="648"/>
      <c r="I370" s="648"/>
      <c r="J370" s="648"/>
      <c r="K370" s="648"/>
      <c r="L370" s="648"/>
      <c r="M370" s="648"/>
      <c r="N370" s="648"/>
      <c r="O370" s="648"/>
      <c r="P370" s="648"/>
      <c r="Q370" s="648"/>
      <c r="R370" s="648"/>
      <c r="S370" s="648"/>
      <c r="T370" s="648" t="s">
        <v>457</v>
      </c>
      <c r="U370" s="648"/>
      <c r="V370" s="648"/>
      <c r="W370" s="648"/>
    </row>
    <row r="371" spans="1:23" ht="39.75" customHeight="1">
      <c r="A371" s="648"/>
      <c r="B371" s="648"/>
      <c r="C371" s="648"/>
      <c r="D371" s="648"/>
      <c r="E371" s="648"/>
      <c r="F371" s="648"/>
      <c r="G371" s="648"/>
      <c r="H371" s="648"/>
      <c r="I371" s="648"/>
      <c r="J371" s="648"/>
      <c r="K371" s="577" t="s">
        <v>458</v>
      </c>
      <c r="L371" s="577" t="s">
        <v>301</v>
      </c>
      <c r="M371" s="648"/>
      <c r="N371" s="648"/>
      <c r="O371" s="648"/>
      <c r="P371" s="648"/>
      <c r="Q371" s="648"/>
      <c r="R371" s="648"/>
      <c r="S371" s="648"/>
      <c r="T371" s="648"/>
      <c r="U371" s="648"/>
      <c r="V371" s="648"/>
      <c r="W371" s="648"/>
    </row>
    <row r="372" spans="1:23" ht="8.25" customHeight="1">
      <c r="A372" s="649" t="s">
        <v>459</v>
      </c>
      <c r="B372" s="649"/>
      <c r="C372" s="581" t="s">
        <v>460</v>
      </c>
      <c r="D372" s="581" t="s">
        <v>461</v>
      </c>
      <c r="E372" s="649" t="s">
        <v>462</v>
      </c>
      <c r="F372" s="649"/>
      <c r="G372" s="649" t="s">
        <v>463</v>
      </c>
      <c r="H372" s="649"/>
      <c r="I372" s="581" t="s">
        <v>464</v>
      </c>
      <c r="J372" s="581" t="s">
        <v>465</v>
      </c>
      <c r="K372" s="581" t="s">
        <v>466</v>
      </c>
      <c r="L372" s="581" t="s">
        <v>467</v>
      </c>
      <c r="M372" s="581" t="s">
        <v>468</v>
      </c>
      <c r="N372" s="581" t="s">
        <v>469</v>
      </c>
      <c r="O372" s="581" t="s">
        <v>470</v>
      </c>
      <c r="P372" s="581" t="s">
        <v>471</v>
      </c>
      <c r="Q372" s="581" t="s">
        <v>472</v>
      </c>
      <c r="R372" s="581" t="s">
        <v>473</v>
      </c>
      <c r="S372" s="581" t="s">
        <v>474</v>
      </c>
      <c r="T372" s="649" t="s">
        <v>475</v>
      </c>
      <c r="U372" s="649"/>
      <c r="V372" s="649" t="s">
        <v>476</v>
      </c>
      <c r="W372" s="649"/>
    </row>
    <row r="373" spans="1:23" ht="13.5" customHeight="1">
      <c r="A373" s="648" t="s">
        <v>572</v>
      </c>
      <c r="B373" s="648"/>
      <c r="C373" s="577"/>
      <c r="D373" s="577"/>
      <c r="E373" s="651" t="s">
        <v>573</v>
      </c>
      <c r="F373" s="651"/>
      <c r="G373" s="650" t="s">
        <v>1014</v>
      </c>
      <c r="H373" s="650"/>
      <c r="I373" s="582" t="s">
        <v>1014</v>
      </c>
      <c r="J373" s="582" t="s">
        <v>1014</v>
      </c>
      <c r="K373" s="582" t="s">
        <v>1014</v>
      </c>
      <c r="L373" s="582" t="s">
        <v>480</v>
      </c>
      <c r="M373" s="582" t="s">
        <v>480</v>
      </c>
      <c r="N373" s="582" t="s">
        <v>480</v>
      </c>
      <c r="O373" s="582" t="s">
        <v>480</v>
      </c>
      <c r="P373" s="582" t="s">
        <v>480</v>
      </c>
      <c r="Q373" s="582" t="s">
        <v>480</v>
      </c>
      <c r="R373" s="582" t="s">
        <v>480</v>
      </c>
      <c r="S373" s="582" t="s">
        <v>480</v>
      </c>
      <c r="T373" s="650" t="s">
        <v>480</v>
      </c>
      <c r="U373" s="650"/>
      <c r="V373" s="650" t="s">
        <v>480</v>
      </c>
      <c r="W373" s="650"/>
    </row>
    <row r="374" spans="1:23" ht="13.5" customHeight="1">
      <c r="A374" s="648"/>
      <c r="B374" s="648"/>
      <c r="C374" s="577" t="s">
        <v>1015</v>
      </c>
      <c r="D374" s="577"/>
      <c r="E374" s="651" t="s">
        <v>1016</v>
      </c>
      <c r="F374" s="651"/>
      <c r="G374" s="650" t="s">
        <v>1014</v>
      </c>
      <c r="H374" s="650"/>
      <c r="I374" s="582" t="s">
        <v>1014</v>
      </c>
      <c r="J374" s="582" t="s">
        <v>1014</v>
      </c>
      <c r="K374" s="582" t="s">
        <v>1014</v>
      </c>
      <c r="L374" s="582" t="s">
        <v>480</v>
      </c>
      <c r="M374" s="582" t="s">
        <v>480</v>
      </c>
      <c r="N374" s="582" t="s">
        <v>480</v>
      </c>
      <c r="O374" s="582" t="s">
        <v>480</v>
      </c>
      <c r="P374" s="582" t="s">
        <v>480</v>
      </c>
      <c r="Q374" s="582" t="s">
        <v>480</v>
      </c>
      <c r="R374" s="582" t="s">
        <v>480</v>
      </c>
      <c r="S374" s="582" t="s">
        <v>480</v>
      </c>
      <c r="T374" s="650" t="s">
        <v>480</v>
      </c>
      <c r="U374" s="650"/>
      <c r="V374" s="650" t="s">
        <v>480</v>
      </c>
      <c r="W374" s="650"/>
    </row>
    <row r="375" spans="1:23" ht="13.5" customHeight="1">
      <c r="A375" s="648"/>
      <c r="B375" s="648"/>
      <c r="C375" s="577"/>
      <c r="D375" s="577" t="s">
        <v>602</v>
      </c>
      <c r="E375" s="651" t="s">
        <v>603</v>
      </c>
      <c r="F375" s="651"/>
      <c r="G375" s="650" t="s">
        <v>1014</v>
      </c>
      <c r="H375" s="650"/>
      <c r="I375" s="582" t="s">
        <v>1014</v>
      </c>
      <c r="J375" s="582" t="s">
        <v>1014</v>
      </c>
      <c r="K375" s="582" t="s">
        <v>1014</v>
      </c>
      <c r="L375" s="582" t="s">
        <v>480</v>
      </c>
      <c r="M375" s="582" t="s">
        <v>480</v>
      </c>
      <c r="N375" s="582" t="s">
        <v>480</v>
      </c>
      <c r="O375" s="582" t="s">
        <v>480</v>
      </c>
      <c r="P375" s="582" t="s">
        <v>480</v>
      </c>
      <c r="Q375" s="582" t="s">
        <v>480</v>
      </c>
      <c r="R375" s="582" t="s">
        <v>480</v>
      </c>
      <c r="S375" s="582" t="s">
        <v>480</v>
      </c>
      <c r="T375" s="650" t="s">
        <v>480</v>
      </c>
      <c r="U375" s="650"/>
      <c r="V375" s="650" t="s">
        <v>480</v>
      </c>
      <c r="W375" s="650"/>
    </row>
    <row r="376" spans="1:23" ht="17.25" customHeight="1">
      <c r="A376" s="648" t="s">
        <v>1017</v>
      </c>
      <c r="B376" s="648"/>
      <c r="C376" s="577"/>
      <c r="D376" s="577"/>
      <c r="E376" s="651" t="s">
        <v>1018</v>
      </c>
      <c r="F376" s="651"/>
      <c r="G376" s="650" t="s">
        <v>1019</v>
      </c>
      <c r="H376" s="650"/>
      <c r="I376" s="582" t="s">
        <v>1019</v>
      </c>
      <c r="J376" s="582" t="s">
        <v>1019</v>
      </c>
      <c r="K376" s="582" t="s">
        <v>1019</v>
      </c>
      <c r="L376" s="582" t="s">
        <v>480</v>
      </c>
      <c r="M376" s="582" t="s">
        <v>480</v>
      </c>
      <c r="N376" s="582" t="s">
        <v>480</v>
      </c>
      <c r="O376" s="582" t="s">
        <v>480</v>
      </c>
      <c r="P376" s="582" t="s">
        <v>480</v>
      </c>
      <c r="Q376" s="582" t="s">
        <v>480</v>
      </c>
      <c r="R376" s="582" t="s">
        <v>480</v>
      </c>
      <c r="S376" s="582" t="s">
        <v>480</v>
      </c>
      <c r="T376" s="650" t="s">
        <v>480</v>
      </c>
      <c r="U376" s="650"/>
      <c r="V376" s="650" t="s">
        <v>480</v>
      </c>
      <c r="W376" s="650"/>
    </row>
    <row r="377" spans="1:23" ht="17.25" customHeight="1">
      <c r="A377" s="648"/>
      <c r="B377" s="648"/>
      <c r="C377" s="577" t="s">
        <v>1020</v>
      </c>
      <c r="D377" s="577"/>
      <c r="E377" s="651" t="s">
        <v>1021</v>
      </c>
      <c r="F377" s="651"/>
      <c r="G377" s="650" t="s">
        <v>1019</v>
      </c>
      <c r="H377" s="650"/>
      <c r="I377" s="582" t="s">
        <v>1019</v>
      </c>
      <c r="J377" s="582" t="s">
        <v>1019</v>
      </c>
      <c r="K377" s="582" t="s">
        <v>1019</v>
      </c>
      <c r="L377" s="582" t="s">
        <v>480</v>
      </c>
      <c r="M377" s="582" t="s">
        <v>480</v>
      </c>
      <c r="N377" s="582" t="s">
        <v>480</v>
      </c>
      <c r="O377" s="582" t="s">
        <v>480</v>
      </c>
      <c r="P377" s="582" t="s">
        <v>480</v>
      </c>
      <c r="Q377" s="582" t="s">
        <v>480</v>
      </c>
      <c r="R377" s="582" t="s">
        <v>480</v>
      </c>
      <c r="S377" s="582" t="s">
        <v>480</v>
      </c>
      <c r="T377" s="650" t="s">
        <v>480</v>
      </c>
      <c r="U377" s="650"/>
      <c r="V377" s="650" t="s">
        <v>480</v>
      </c>
      <c r="W377" s="650"/>
    </row>
    <row r="378" spans="1:23" ht="13.5" customHeight="1">
      <c r="A378" s="648"/>
      <c r="B378" s="648"/>
      <c r="C378" s="577"/>
      <c r="D378" s="577" t="s">
        <v>608</v>
      </c>
      <c r="E378" s="651" t="s">
        <v>609</v>
      </c>
      <c r="F378" s="651"/>
      <c r="G378" s="650" t="s">
        <v>1022</v>
      </c>
      <c r="H378" s="650"/>
      <c r="I378" s="582" t="s">
        <v>1022</v>
      </c>
      <c r="J378" s="582" t="s">
        <v>1022</v>
      </c>
      <c r="K378" s="582" t="s">
        <v>1022</v>
      </c>
      <c r="L378" s="582" t="s">
        <v>480</v>
      </c>
      <c r="M378" s="582" t="s">
        <v>480</v>
      </c>
      <c r="N378" s="582" t="s">
        <v>480</v>
      </c>
      <c r="O378" s="582" t="s">
        <v>480</v>
      </c>
      <c r="P378" s="582" t="s">
        <v>480</v>
      </c>
      <c r="Q378" s="582" t="s">
        <v>480</v>
      </c>
      <c r="R378" s="582" t="s">
        <v>480</v>
      </c>
      <c r="S378" s="582" t="s">
        <v>480</v>
      </c>
      <c r="T378" s="650" t="s">
        <v>480</v>
      </c>
      <c r="U378" s="650"/>
      <c r="V378" s="650" t="s">
        <v>480</v>
      </c>
      <c r="W378" s="650"/>
    </row>
    <row r="379" spans="1:23" ht="13.5" customHeight="1">
      <c r="A379" s="648"/>
      <c r="B379" s="648"/>
      <c r="C379" s="577"/>
      <c r="D379" s="577" t="s">
        <v>611</v>
      </c>
      <c r="E379" s="651" t="s">
        <v>612</v>
      </c>
      <c r="F379" s="651"/>
      <c r="G379" s="650" t="s">
        <v>1023</v>
      </c>
      <c r="H379" s="650"/>
      <c r="I379" s="582" t="s">
        <v>1023</v>
      </c>
      <c r="J379" s="582" t="s">
        <v>1023</v>
      </c>
      <c r="K379" s="582" t="s">
        <v>1023</v>
      </c>
      <c r="L379" s="582" t="s">
        <v>480</v>
      </c>
      <c r="M379" s="582" t="s">
        <v>480</v>
      </c>
      <c r="N379" s="582" t="s">
        <v>480</v>
      </c>
      <c r="O379" s="582" t="s">
        <v>480</v>
      </c>
      <c r="P379" s="582" t="s">
        <v>480</v>
      </c>
      <c r="Q379" s="582" t="s">
        <v>480</v>
      </c>
      <c r="R379" s="582" t="s">
        <v>480</v>
      </c>
      <c r="S379" s="582" t="s">
        <v>480</v>
      </c>
      <c r="T379" s="650" t="s">
        <v>480</v>
      </c>
      <c r="U379" s="650"/>
      <c r="V379" s="650" t="s">
        <v>480</v>
      </c>
      <c r="W379" s="650"/>
    </row>
    <row r="380" spans="1:23" ht="13.5" customHeight="1">
      <c r="A380" s="648"/>
      <c r="B380" s="648"/>
      <c r="C380" s="577"/>
      <c r="D380" s="577" t="s">
        <v>543</v>
      </c>
      <c r="E380" s="651" t="s">
        <v>544</v>
      </c>
      <c r="F380" s="651"/>
      <c r="G380" s="650" t="s">
        <v>1024</v>
      </c>
      <c r="H380" s="650"/>
      <c r="I380" s="582" t="s">
        <v>1024</v>
      </c>
      <c r="J380" s="582" t="s">
        <v>1024</v>
      </c>
      <c r="K380" s="582" t="s">
        <v>1024</v>
      </c>
      <c r="L380" s="582" t="s">
        <v>480</v>
      </c>
      <c r="M380" s="582" t="s">
        <v>480</v>
      </c>
      <c r="N380" s="582" t="s">
        <v>480</v>
      </c>
      <c r="O380" s="582" t="s">
        <v>480</v>
      </c>
      <c r="P380" s="582" t="s">
        <v>480</v>
      </c>
      <c r="Q380" s="582" t="s">
        <v>480</v>
      </c>
      <c r="R380" s="582" t="s">
        <v>480</v>
      </c>
      <c r="S380" s="582" t="s">
        <v>480</v>
      </c>
      <c r="T380" s="650" t="s">
        <v>480</v>
      </c>
      <c r="U380" s="650"/>
      <c r="V380" s="650" t="s">
        <v>480</v>
      </c>
      <c r="W380" s="650"/>
    </row>
    <row r="381" spans="1:23" ht="13.5" customHeight="1">
      <c r="A381" s="648" t="s">
        <v>1025</v>
      </c>
      <c r="B381" s="648"/>
      <c r="C381" s="577"/>
      <c r="D381" s="577"/>
      <c r="E381" s="651" t="s">
        <v>404</v>
      </c>
      <c r="F381" s="651"/>
      <c r="G381" s="650" t="s">
        <v>1026</v>
      </c>
      <c r="H381" s="650"/>
      <c r="I381" s="582" t="s">
        <v>1026</v>
      </c>
      <c r="J381" s="582" t="s">
        <v>1026</v>
      </c>
      <c r="K381" s="582" t="s">
        <v>480</v>
      </c>
      <c r="L381" s="582" t="s">
        <v>1026</v>
      </c>
      <c r="M381" s="582" t="s">
        <v>480</v>
      </c>
      <c r="N381" s="582" t="s">
        <v>480</v>
      </c>
      <c r="O381" s="582" t="s">
        <v>480</v>
      </c>
      <c r="P381" s="582" t="s">
        <v>480</v>
      </c>
      <c r="Q381" s="582" t="s">
        <v>480</v>
      </c>
      <c r="R381" s="582" t="s">
        <v>480</v>
      </c>
      <c r="S381" s="582" t="s">
        <v>480</v>
      </c>
      <c r="T381" s="650" t="s">
        <v>480</v>
      </c>
      <c r="U381" s="650"/>
      <c r="V381" s="650" t="s">
        <v>480</v>
      </c>
      <c r="W381" s="650"/>
    </row>
    <row r="382" spans="1:23" ht="13.5" customHeight="1">
      <c r="A382" s="648"/>
      <c r="B382" s="648"/>
      <c r="C382" s="577" t="s">
        <v>1027</v>
      </c>
      <c r="D382" s="577"/>
      <c r="E382" s="651" t="s">
        <v>405</v>
      </c>
      <c r="F382" s="651"/>
      <c r="G382" s="650" t="s">
        <v>1026</v>
      </c>
      <c r="H382" s="650"/>
      <c r="I382" s="582" t="s">
        <v>1026</v>
      </c>
      <c r="J382" s="582" t="s">
        <v>1026</v>
      </c>
      <c r="K382" s="582" t="s">
        <v>480</v>
      </c>
      <c r="L382" s="582" t="s">
        <v>1026</v>
      </c>
      <c r="M382" s="582" t="s">
        <v>480</v>
      </c>
      <c r="N382" s="582" t="s">
        <v>480</v>
      </c>
      <c r="O382" s="582" t="s">
        <v>480</v>
      </c>
      <c r="P382" s="582" t="s">
        <v>480</v>
      </c>
      <c r="Q382" s="582" t="s">
        <v>480</v>
      </c>
      <c r="R382" s="582" t="s">
        <v>480</v>
      </c>
      <c r="S382" s="582" t="s">
        <v>480</v>
      </c>
      <c r="T382" s="650" t="s">
        <v>480</v>
      </c>
      <c r="U382" s="650"/>
      <c r="V382" s="650" t="s">
        <v>480</v>
      </c>
      <c r="W382" s="650"/>
    </row>
    <row r="383" spans="1:23" ht="13.5" customHeight="1">
      <c r="A383" s="648"/>
      <c r="B383" s="648"/>
      <c r="C383" s="577"/>
      <c r="D383" s="577" t="s">
        <v>486</v>
      </c>
      <c r="E383" s="651" t="s">
        <v>487</v>
      </c>
      <c r="F383" s="651"/>
      <c r="G383" s="650" t="s">
        <v>1026</v>
      </c>
      <c r="H383" s="650"/>
      <c r="I383" s="582" t="s">
        <v>1026</v>
      </c>
      <c r="J383" s="582" t="s">
        <v>1026</v>
      </c>
      <c r="K383" s="582" t="s">
        <v>480</v>
      </c>
      <c r="L383" s="582" t="s">
        <v>1026</v>
      </c>
      <c r="M383" s="582" t="s">
        <v>480</v>
      </c>
      <c r="N383" s="582" t="s">
        <v>480</v>
      </c>
      <c r="O383" s="582" t="s">
        <v>480</v>
      </c>
      <c r="P383" s="582" t="s">
        <v>480</v>
      </c>
      <c r="Q383" s="582" t="s">
        <v>480</v>
      </c>
      <c r="R383" s="582" t="s">
        <v>480</v>
      </c>
      <c r="S383" s="582" t="s">
        <v>480</v>
      </c>
      <c r="T383" s="650" t="s">
        <v>480</v>
      </c>
      <c r="U383" s="650"/>
      <c r="V383" s="650" t="s">
        <v>480</v>
      </c>
      <c r="W383" s="650"/>
    </row>
    <row r="384" spans="1:23" ht="17.25" customHeight="1">
      <c r="A384" s="648" t="s">
        <v>651</v>
      </c>
      <c r="B384" s="648"/>
      <c r="C384" s="577"/>
      <c r="D384" s="577"/>
      <c r="E384" s="651" t="s">
        <v>133</v>
      </c>
      <c r="F384" s="651"/>
      <c r="G384" s="650" t="s">
        <v>488</v>
      </c>
      <c r="H384" s="650"/>
      <c r="I384" s="582" t="s">
        <v>488</v>
      </c>
      <c r="J384" s="582" t="s">
        <v>488</v>
      </c>
      <c r="K384" s="582" t="s">
        <v>480</v>
      </c>
      <c r="L384" s="582" t="s">
        <v>488</v>
      </c>
      <c r="M384" s="582" t="s">
        <v>480</v>
      </c>
      <c r="N384" s="582" t="s">
        <v>480</v>
      </c>
      <c r="O384" s="582" t="s">
        <v>480</v>
      </c>
      <c r="P384" s="582" t="s">
        <v>480</v>
      </c>
      <c r="Q384" s="582" t="s">
        <v>480</v>
      </c>
      <c r="R384" s="582" t="s">
        <v>480</v>
      </c>
      <c r="S384" s="582" t="s">
        <v>480</v>
      </c>
      <c r="T384" s="650" t="s">
        <v>480</v>
      </c>
      <c r="U384" s="650"/>
      <c r="V384" s="650" t="s">
        <v>480</v>
      </c>
      <c r="W384" s="650"/>
    </row>
    <row r="385" spans="1:23" ht="13.5" customHeight="1">
      <c r="A385" s="648"/>
      <c r="B385" s="648"/>
      <c r="C385" s="577" t="s">
        <v>684</v>
      </c>
      <c r="D385" s="577"/>
      <c r="E385" s="651" t="s">
        <v>137</v>
      </c>
      <c r="F385" s="651"/>
      <c r="G385" s="650" t="s">
        <v>488</v>
      </c>
      <c r="H385" s="650"/>
      <c r="I385" s="582" t="s">
        <v>488</v>
      </c>
      <c r="J385" s="582" t="s">
        <v>488</v>
      </c>
      <c r="K385" s="582" t="s">
        <v>480</v>
      </c>
      <c r="L385" s="582" t="s">
        <v>488</v>
      </c>
      <c r="M385" s="582" t="s">
        <v>480</v>
      </c>
      <c r="N385" s="582" t="s">
        <v>480</v>
      </c>
      <c r="O385" s="582" t="s">
        <v>480</v>
      </c>
      <c r="P385" s="582" t="s">
        <v>480</v>
      </c>
      <c r="Q385" s="582" t="s">
        <v>480</v>
      </c>
      <c r="R385" s="582" t="s">
        <v>480</v>
      </c>
      <c r="S385" s="582" t="s">
        <v>480</v>
      </c>
      <c r="T385" s="650" t="s">
        <v>480</v>
      </c>
      <c r="U385" s="650"/>
      <c r="V385" s="650" t="s">
        <v>480</v>
      </c>
      <c r="W385" s="650"/>
    </row>
    <row r="386" spans="1:23" ht="13.5" customHeight="1">
      <c r="A386" s="648"/>
      <c r="B386" s="648"/>
      <c r="C386" s="577"/>
      <c r="D386" s="577" t="s">
        <v>486</v>
      </c>
      <c r="E386" s="651" t="s">
        <v>487</v>
      </c>
      <c r="F386" s="651"/>
      <c r="G386" s="650" t="s">
        <v>488</v>
      </c>
      <c r="H386" s="650"/>
      <c r="I386" s="582" t="s">
        <v>488</v>
      </c>
      <c r="J386" s="582" t="s">
        <v>488</v>
      </c>
      <c r="K386" s="582" t="s">
        <v>480</v>
      </c>
      <c r="L386" s="582" t="s">
        <v>488</v>
      </c>
      <c r="M386" s="582" t="s">
        <v>480</v>
      </c>
      <c r="N386" s="582" t="s">
        <v>480</v>
      </c>
      <c r="O386" s="582" t="s">
        <v>480</v>
      </c>
      <c r="P386" s="582" t="s">
        <v>480</v>
      </c>
      <c r="Q386" s="582" t="s">
        <v>480</v>
      </c>
      <c r="R386" s="582" t="s">
        <v>480</v>
      </c>
      <c r="S386" s="582" t="s">
        <v>480</v>
      </c>
      <c r="T386" s="650" t="s">
        <v>480</v>
      </c>
      <c r="U386" s="650"/>
      <c r="V386" s="650" t="s">
        <v>480</v>
      </c>
      <c r="W386" s="650"/>
    </row>
    <row r="387" spans="1:23" ht="13.5" customHeight="1">
      <c r="A387" s="648" t="s">
        <v>868</v>
      </c>
      <c r="B387" s="648"/>
      <c r="C387" s="577"/>
      <c r="D387" s="577"/>
      <c r="E387" s="651" t="s">
        <v>869</v>
      </c>
      <c r="F387" s="651"/>
      <c r="G387" s="650" t="s">
        <v>1028</v>
      </c>
      <c r="H387" s="650"/>
      <c r="I387" s="582" t="s">
        <v>1028</v>
      </c>
      <c r="J387" s="582" t="s">
        <v>1029</v>
      </c>
      <c r="K387" s="582" t="s">
        <v>1030</v>
      </c>
      <c r="L387" s="582" t="s">
        <v>1031</v>
      </c>
      <c r="M387" s="582" t="s">
        <v>480</v>
      </c>
      <c r="N387" s="582" t="s">
        <v>1032</v>
      </c>
      <c r="O387" s="582" t="s">
        <v>480</v>
      </c>
      <c r="P387" s="582" t="s">
        <v>480</v>
      </c>
      <c r="Q387" s="582" t="s">
        <v>480</v>
      </c>
      <c r="R387" s="582" t="s">
        <v>480</v>
      </c>
      <c r="S387" s="582" t="s">
        <v>480</v>
      </c>
      <c r="T387" s="650" t="s">
        <v>480</v>
      </c>
      <c r="U387" s="650"/>
      <c r="V387" s="650" t="s">
        <v>480</v>
      </c>
      <c r="W387" s="650"/>
    </row>
    <row r="388" spans="1:23" ht="24" customHeight="1">
      <c r="A388" s="648"/>
      <c r="B388" s="648"/>
      <c r="C388" s="577" t="s">
        <v>1033</v>
      </c>
      <c r="D388" s="577"/>
      <c r="E388" s="651" t="s">
        <v>1034</v>
      </c>
      <c r="F388" s="651"/>
      <c r="G388" s="650" t="s">
        <v>1035</v>
      </c>
      <c r="H388" s="650"/>
      <c r="I388" s="582" t="s">
        <v>1035</v>
      </c>
      <c r="J388" s="582" t="s">
        <v>1036</v>
      </c>
      <c r="K388" s="582" t="s">
        <v>1037</v>
      </c>
      <c r="L388" s="582" t="s">
        <v>1031</v>
      </c>
      <c r="M388" s="582" t="s">
        <v>480</v>
      </c>
      <c r="N388" s="582" t="s">
        <v>1032</v>
      </c>
      <c r="O388" s="582" t="s">
        <v>480</v>
      </c>
      <c r="P388" s="582" t="s">
        <v>480</v>
      </c>
      <c r="Q388" s="582" t="s">
        <v>480</v>
      </c>
      <c r="R388" s="582" t="s">
        <v>480</v>
      </c>
      <c r="S388" s="582" t="s">
        <v>480</v>
      </c>
      <c r="T388" s="650" t="s">
        <v>480</v>
      </c>
      <c r="U388" s="650"/>
      <c r="V388" s="650" t="s">
        <v>480</v>
      </c>
      <c r="W388" s="650"/>
    </row>
    <row r="389" spans="1:23" ht="13.5" customHeight="1">
      <c r="A389" s="648"/>
      <c r="B389" s="648"/>
      <c r="C389" s="577"/>
      <c r="D389" s="577" t="s">
        <v>889</v>
      </c>
      <c r="E389" s="651" t="s">
        <v>890</v>
      </c>
      <c r="F389" s="651"/>
      <c r="G389" s="650" t="s">
        <v>1032</v>
      </c>
      <c r="H389" s="650"/>
      <c r="I389" s="582" t="s">
        <v>1032</v>
      </c>
      <c r="J389" s="582" t="s">
        <v>480</v>
      </c>
      <c r="K389" s="582" t="s">
        <v>480</v>
      </c>
      <c r="L389" s="582" t="s">
        <v>480</v>
      </c>
      <c r="M389" s="582" t="s">
        <v>480</v>
      </c>
      <c r="N389" s="582" t="s">
        <v>1032</v>
      </c>
      <c r="O389" s="582" t="s">
        <v>480</v>
      </c>
      <c r="P389" s="582" t="s">
        <v>480</v>
      </c>
      <c r="Q389" s="582" t="s">
        <v>480</v>
      </c>
      <c r="R389" s="582" t="s">
        <v>480</v>
      </c>
      <c r="S389" s="582" t="s">
        <v>480</v>
      </c>
      <c r="T389" s="650" t="s">
        <v>480</v>
      </c>
      <c r="U389" s="650"/>
      <c r="V389" s="650" t="s">
        <v>480</v>
      </c>
      <c r="W389" s="650"/>
    </row>
    <row r="390" spans="1:23" ht="13.5" customHeight="1">
      <c r="A390" s="648"/>
      <c r="B390" s="648"/>
      <c r="C390" s="577"/>
      <c r="D390" s="577" t="s">
        <v>602</v>
      </c>
      <c r="E390" s="651" t="s">
        <v>603</v>
      </c>
      <c r="F390" s="651"/>
      <c r="G390" s="650" t="s">
        <v>1038</v>
      </c>
      <c r="H390" s="650"/>
      <c r="I390" s="582" t="s">
        <v>1038</v>
      </c>
      <c r="J390" s="582" t="s">
        <v>1038</v>
      </c>
      <c r="K390" s="582" t="s">
        <v>1038</v>
      </c>
      <c r="L390" s="582" t="s">
        <v>480</v>
      </c>
      <c r="M390" s="582" t="s">
        <v>480</v>
      </c>
      <c r="N390" s="582" t="s">
        <v>480</v>
      </c>
      <c r="O390" s="582" t="s">
        <v>480</v>
      </c>
      <c r="P390" s="582" t="s">
        <v>480</v>
      </c>
      <c r="Q390" s="582" t="s">
        <v>480</v>
      </c>
      <c r="R390" s="582" t="s">
        <v>480</v>
      </c>
      <c r="S390" s="582" t="s">
        <v>480</v>
      </c>
      <c r="T390" s="650" t="s">
        <v>480</v>
      </c>
      <c r="U390" s="650"/>
      <c r="V390" s="650" t="s">
        <v>480</v>
      </c>
      <c r="W390" s="650"/>
    </row>
    <row r="391" spans="1:23" ht="13.5" customHeight="1">
      <c r="A391" s="648"/>
      <c r="B391" s="648"/>
      <c r="C391" s="577"/>
      <c r="D391" s="577" t="s">
        <v>605</v>
      </c>
      <c r="E391" s="651" t="s">
        <v>606</v>
      </c>
      <c r="F391" s="651"/>
      <c r="G391" s="650" t="s">
        <v>1039</v>
      </c>
      <c r="H391" s="650"/>
      <c r="I391" s="582" t="s">
        <v>1039</v>
      </c>
      <c r="J391" s="582" t="s">
        <v>1039</v>
      </c>
      <c r="K391" s="582" t="s">
        <v>1039</v>
      </c>
      <c r="L391" s="582" t="s">
        <v>480</v>
      </c>
      <c r="M391" s="582" t="s">
        <v>480</v>
      </c>
      <c r="N391" s="582" t="s">
        <v>480</v>
      </c>
      <c r="O391" s="582" t="s">
        <v>480</v>
      </c>
      <c r="P391" s="582" t="s">
        <v>480</v>
      </c>
      <c r="Q391" s="582" t="s">
        <v>480</v>
      </c>
      <c r="R391" s="582" t="s">
        <v>480</v>
      </c>
      <c r="S391" s="582" t="s">
        <v>480</v>
      </c>
      <c r="T391" s="650" t="s">
        <v>480</v>
      </c>
      <c r="U391" s="650"/>
      <c r="V391" s="650" t="s">
        <v>480</v>
      </c>
      <c r="W391" s="650"/>
    </row>
    <row r="392" spans="1:23" ht="13.5" customHeight="1">
      <c r="A392" s="648"/>
      <c r="B392" s="648"/>
      <c r="C392" s="577"/>
      <c r="D392" s="577" t="s">
        <v>608</v>
      </c>
      <c r="E392" s="651" t="s">
        <v>609</v>
      </c>
      <c r="F392" s="651"/>
      <c r="G392" s="650" t="s">
        <v>1040</v>
      </c>
      <c r="H392" s="650"/>
      <c r="I392" s="582" t="s">
        <v>1040</v>
      </c>
      <c r="J392" s="582" t="s">
        <v>1040</v>
      </c>
      <c r="K392" s="582" t="s">
        <v>1040</v>
      </c>
      <c r="L392" s="582" t="s">
        <v>480</v>
      </c>
      <c r="M392" s="582" t="s">
        <v>480</v>
      </c>
      <c r="N392" s="582" t="s">
        <v>480</v>
      </c>
      <c r="O392" s="582" t="s">
        <v>480</v>
      </c>
      <c r="P392" s="582" t="s">
        <v>480</v>
      </c>
      <c r="Q392" s="582" t="s">
        <v>480</v>
      </c>
      <c r="R392" s="582" t="s">
        <v>480</v>
      </c>
      <c r="S392" s="582" t="s">
        <v>480</v>
      </c>
      <c r="T392" s="650" t="s">
        <v>480</v>
      </c>
      <c r="U392" s="650"/>
      <c r="V392" s="650" t="s">
        <v>480</v>
      </c>
      <c r="W392" s="650"/>
    </row>
    <row r="393" spans="1:23" ht="13.5" customHeight="1">
      <c r="A393" s="648"/>
      <c r="B393" s="648"/>
      <c r="C393" s="577"/>
      <c r="D393" s="577" t="s">
        <v>611</v>
      </c>
      <c r="E393" s="651" t="s">
        <v>612</v>
      </c>
      <c r="F393" s="651"/>
      <c r="G393" s="650" t="s">
        <v>1041</v>
      </c>
      <c r="H393" s="650"/>
      <c r="I393" s="582" t="s">
        <v>1041</v>
      </c>
      <c r="J393" s="582" t="s">
        <v>1041</v>
      </c>
      <c r="K393" s="582" t="s">
        <v>1041</v>
      </c>
      <c r="L393" s="582" t="s">
        <v>480</v>
      </c>
      <c r="M393" s="582" t="s">
        <v>480</v>
      </c>
      <c r="N393" s="582" t="s">
        <v>480</v>
      </c>
      <c r="O393" s="582" t="s">
        <v>480</v>
      </c>
      <c r="P393" s="582" t="s">
        <v>480</v>
      </c>
      <c r="Q393" s="582" t="s">
        <v>480</v>
      </c>
      <c r="R393" s="582" t="s">
        <v>480</v>
      </c>
      <c r="S393" s="582" t="s">
        <v>480</v>
      </c>
      <c r="T393" s="650" t="s">
        <v>480</v>
      </c>
      <c r="U393" s="650"/>
      <c r="V393" s="650" t="s">
        <v>480</v>
      </c>
      <c r="W393" s="650"/>
    </row>
    <row r="394" spans="1:23" ht="13.5" customHeight="1">
      <c r="A394" s="648"/>
      <c r="B394" s="648"/>
      <c r="C394" s="577"/>
      <c r="D394" s="577" t="s">
        <v>483</v>
      </c>
      <c r="E394" s="651" t="s">
        <v>484</v>
      </c>
      <c r="F394" s="651"/>
      <c r="G394" s="650" t="s">
        <v>1042</v>
      </c>
      <c r="H394" s="650"/>
      <c r="I394" s="582" t="s">
        <v>1042</v>
      </c>
      <c r="J394" s="582" t="s">
        <v>1042</v>
      </c>
      <c r="K394" s="582" t="s">
        <v>480</v>
      </c>
      <c r="L394" s="582" t="s">
        <v>1042</v>
      </c>
      <c r="M394" s="582" t="s">
        <v>480</v>
      </c>
      <c r="N394" s="582" t="s">
        <v>480</v>
      </c>
      <c r="O394" s="582" t="s">
        <v>480</v>
      </c>
      <c r="P394" s="582" t="s">
        <v>480</v>
      </c>
      <c r="Q394" s="582" t="s">
        <v>480</v>
      </c>
      <c r="R394" s="582" t="s">
        <v>480</v>
      </c>
      <c r="S394" s="582" t="s">
        <v>480</v>
      </c>
      <c r="T394" s="650" t="s">
        <v>480</v>
      </c>
      <c r="U394" s="650"/>
      <c r="V394" s="650" t="s">
        <v>480</v>
      </c>
      <c r="W394" s="650"/>
    </row>
    <row r="395" spans="1:23" ht="13.5" customHeight="1">
      <c r="A395" s="648"/>
      <c r="B395" s="648"/>
      <c r="C395" s="577"/>
      <c r="D395" s="577" t="s">
        <v>558</v>
      </c>
      <c r="E395" s="651" t="s">
        <v>559</v>
      </c>
      <c r="F395" s="651"/>
      <c r="G395" s="650" t="s">
        <v>1043</v>
      </c>
      <c r="H395" s="650"/>
      <c r="I395" s="582" t="s">
        <v>1043</v>
      </c>
      <c r="J395" s="582" t="s">
        <v>1043</v>
      </c>
      <c r="K395" s="582" t="s">
        <v>480</v>
      </c>
      <c r="L395" s="582" t="s">
        <v>1043</v>
      </c>
      <c r="M395" s="582" t="s">
        <v>480</v>
      </c>
      <c r="N395" s="582" t="s">
        <v>480</v>
      </c>
      <c r="O395" s="582" t="s">
        <v>480</v>
      </c>
      <c r="P395" s="582" t="s">
        <v>480</v>
      </c>
      <c r="Q395" s="582" t="s">
        <v>480</v>
      </c>
      <c r="R395" s="582" t="s">
        <v>480</v>
      </c>
      <c r="S395" s="582" t="s">
        <v>480</v>
      </c>
      <c r="T395" s="650" t="s">
        <v>480</v>
      </c>
      <c r="U395" s="650"/>
      <c r="V395" s="650" t="s">
        <v>480</v>
      </c>
      <c r="W395" s="650"/>
    </row>
    <row r="396" spans="1:23" ht="13.5" customHeight="1">
      <c r="A396" s="648"/>
      <c r="B396" s="648"/>
      <c r="C396" s="577"/>
      <c r="D396" s="577" t="s">
        <v>517</v>
      </c>
      <c r="E396" s="651" t="s">
        <v>518</v>
      </c>
      <c r="F396" s="651"/>
      <c r="G396" s="650" t="s">
        <v>801</v>
      </c>
      <c r="H396" s="650"/>
      <c r="I396" s="582" t="s">
        <v>801</v>
      </c>
      <c r="J396" s="582" t="s">
        <v>801</v>
      </c>
      <c r="K396" s="582" t="s">
        <v>480</v>
      </c>
      <c r="L396" s="582" t="s">
        <v>801</v>
      </c>
      <c r="M396" s="582" t="s">
        <v>480</v>
      </c>
      <c r="N396" s="582" t="s">
        <v>480</v>
      </c>
      <c r="O396" s="582" t="s">
        <v>480</v>
      </c>
      <c r="P396" s="582" t="s">
        <v>480</v>
      </c>
      <c r="Q396" s="582" t="s">
        <v>480</v>
      </c>
      <c r="R396" s="582" t="s">
        <v>480</v>
      </c>
      <c r="S396" s="582" t="s">
        <v>480</v>
      </c>
      <c r="T396" s="650" t="s">
        <v>480</v>
      </c>
      <c r="U396" s="650"/>
      <c r="V396" s="650" t="s">
        <v>480</v>
      </c>
      <c r="W396" s="650"/>
    </row>
    <row r="397" spans="1:23" ht="13.5" customHeight="1">
      <c r="A397" s="648"/>
      <c r="B397" s="648"/>
      <c r="C397" s="577"/>
      <c r="D397" s="577" t="s">
        <v>621</v>
      </c>
      <c r="E397" s="651" t="s">
        <v>622</v>
      </c>
      <c r="F397" s="651"/>
      <c r="G397" s="650" t="s">
        <v>1026</v>
      </c>
      <c r="H397" s="650"/>
      <c r="I397" s="582" t="s">
        <v>1026</v>
      </c>
      <c r="J397" s="582" t="s">
        <v>1026</v>
      </c>
      <c r="K397" s="582" t="s">
        <v>480</v>
      </c>
      <c r="L397" s="582" t="s">
        <v>1026</v>
      </c>
      <c r="M397" s="582" t="s">
        <v>480</v>
      </c>
      <c r="N397" s="582" t="s">
        <v>480</v>
      </c>
      <c r="O397" s="582" t="s">
        <v>480</v>
      </c>
      <c r="P397" s="582" t="s">
        <v>480</v>
      </c>
      <c r="Q397" s="582" t="s">
        <v>480</v>
      </c>
      <c r="R397" s="582" t="s">
        <v>480</v>
      </c>
      <c r="S397" s="582" t="s">
        <v>480</v>
      </c>
      <c r="T397" s="650" t="s">
        <v>480</v>
      </c>
      <c r="U397" s="650"/>
      <c r="V397" s="650" t="s">
        <v>480</v>
      </c>
      <c r="W397" s="650"/>
    </row>
    <row r="398" spans="1:23" ht="13.5" customHeight="1">
      <c r="A398" s="648"/>
      <c r="B398" s="648"/>
      <c r="C398" s="577"/>
      <c r="D398" s="577" t="s">
        <v>486</v>
      </c>
      <c r="E398" s="651" t="s">
        <v>487</v>
      </c>
      <c r="F398" s="651"/>
      <c r="G398" s="650" t="s">
        <v>1044</v>
      </c>
      <c r="H398" s="650"/>
      <c r="I398" s="582" t="s">
        <v>1044</v>
      </c>
      <c r="J398" s="582" t="s">
        <v>1044</v>
      </c>
      <c r="K398" s="582" t="s">
        <v>480</v>
      </c>
      <c r="L398" s="582" t="s">
        <v>1044</v>
      </c>
      <c r="M398" s="582" t="s">
        <v>480</v>
      </c>
      <c r="N398" s="582" t="s">
        <v>480</v>
      </c>
      <c r="O398" s="582" t="s">
        <v>480</v>
      </c>
      <c r="P398" s="582" t="s">
        <v>480</v>
      </c>
      <c r="Q398" s="582" t="s">
        <v>480</v>
      </c>
      <c r="R398" s="582" t="s">
        <v>480</v>
      </c>
      <c r="S398" s="582" t="s">
        <v>480</v>
      </c>
      <c r="T398" s="650" t="s">
        <v>480</v>
      </c>
      <c r="U398" s="650"/>
      <c r="V398" s="650" t="s">
        <v>480</v>
      </c>
      <c r="W398" s="650"/>
    </row>
    <row r="399" spans="1:23" ht="24" customHeight="1">
      <c r="A399" s="648"/>
      <c r="B399" s="648"/>
      <c r="C399" s="577"/>
      <c r="D399" s="577" t="s">
        <v>628</v>
      </c>
      <c r="E399" s="651" t="s">
        <v>629</v>
      </c>
      <c r="F399" s="651"/>
      <c r="G399" s="650" t="s">
        <v>671</v>
      </c>
      <c r="H399" s="650"/>
      <c r="I399" s="582" t="s">
        <v>671</v>
      </c>
      <c r="J399" s="582" t="s">
        <v>671</v>
      </c>
      <c r="K399" s="582" t="s">
        <v>480</v>
      </c>
      <c r="L399" s="582" t="s">
        <v>671</v>
      </c>
      <c r="M399" s="582" t="s">
        <v>480</v>
      </c>
      <c r="N399" s="582" t="s">
        <v>480</v>
      </c>
      <c r="O399" s="582" t="s">
        <v>480</v>
      </c>
      <c r="P399" s="582" t="s">
        <v>480</v>
      </c>
      <c r="Q399" s="582" t="s">
        <v>480</v>
      </c>
      <c r="R399" s="582" t="s">
        <v>480</v>
      </c>
      <c r="S399" s="582" t="s">
        <v>480</v>
      </c>
      <c r="T399" s="650" t="s">
        <v>480</v>
      </c>
      <c r="U399" s="650"/>
      <c r="V399" s="650" t="s">
        <v>480</v>
      </c>
      <c r="W399" s="650"/>
    </row>
    <row r="400" spans="1:23" ht="13.5" customHeight="1">
      <c r="A400" s="648"/>
      <c r="B400" s="648"/>
      <c r="C400" s="577"/>
      <c r="D400" s="577" t="s">
        <v>588</v>
      </c>
      <c r="E400" s="651" t="s">
        <v>589</v>
      </c>
      <c r="F400" s="651"/>
      <c r="G400" s="650" t="s">
        <v>1045</v>
      </c>
      <c r="H400" s="650"/>
      <c r="I400" s="582" t="s">
        <v>1045</v>
      </c>
      <c r="J400" s="582" t="s">
        <v>1045</v>
      </c>
      <c r="K400" s="582" t="s">
        <v>480</v>
      </c>
      <c r="L400" s="582" t="s">
        <v>1045</v>
      </c>
      <c r="M400" s="582" t="s">
        <v>480</v>
      </c>
      <c r="N400" s="582" t="s">
        <v>480</v>
      </c>
      <c r="O400" s="582" t="s">
        <v>480</v>
      </c>
      <c r="P400" s="582" t="s">
        <v>480</v>
      </c>
      <c r="Q400" s="582" t="s">
        <v>480</v>
      </c>
      <c r="R400" s="582" t="s">
        <v>480</v>
      </c>
      <c r="S400" s="582" t="s">
        <v>480</v>
      </c>
      <c r="T400" s="650" t="s">
        <v>480</v>
      </c>
      <c r="U400" s="650"/>
      <c r="V400" s="650" t="s">
        <v>480</v>
      </c>
      <c r="W400" s="650"/>
    </row>
    <row r="401" spans="1:23" ht="13.5" customHeight="1">
      <c r="A401" s="648"/>
      <c r="B401" s="648"/>
      <c r="C401" s="577"/>
      <c r="D401" s="577" t="s">
        <v>494</v>
      </c>
      <c r="E401" s="651" t="s">
        <v>495</v>
      </c>
      <c r="F401" s="651"/>
      <c r="G401" s="650" t="s">
        <v>1046</v>
      </c>
      <c r="H401" s="650"/>
      <c r="I401" s="582" t="s">
        <v>1046</v>
      </c>
      <c r="J401" s="582" t="s">
        <v>1046</v>
      </c>
      <c r="K401" s="582" t="s">
        <v>480</v>
      </c>
      <c r="L401" s="582" t="s">
        <v>1046</v>
      </c>
      <c r="M401" s="582" t="s">
        <v>480</v>
      </c>
      <c r="N401" s="582" t="s">
        <v>480</v>
      </c>
      <c r="O401" s="582" t="s">
        <v>480</v>
      </c>
      <c r="P401" s="582" t="s">
        <v>480</v>
      </c>
      <c r="Q401" s="582" t="s">
        <v>480</v>
      </c>
      <c r="R401" s="582" t="s">
        <v>480</v>
      </c>
      <c r="S401" s="582" t="s">
        <v>480</v>
      </c>
      <c r="T401" s="650" t="s">
        <v>480</v>
      </c>
      <c r="U401" s="650"/>
      <c r="V401" s="650" t="s">
        <v>480</v>
      </c>
      <c r="W401" s="650"/>
    </row>
    <row r="402" spans="1:23" ht="17.25" customHeight="1">
      <c r="A402" s="648"/>
      <c r="B402" s="648"/>
      <c r="C402" s="577"/>
      <c r="D402" s="577" t="s">
        <v>637</v>
      </c>
      <c r="E402" s="651" t="s">
        <v>638</v>
      </c>
      <c r="F402" s="651"/>
      <c r="G402" s="650" t="s">
        <v>1047</v>
      </c>
      <c r="H402" s="650"/>
      <c r="I402" s="582" t="s">
        <v>1047</v>
      </c>
      <c r="J402" s="582" t="s">
        <v>1047</v>
      </c>
      <c r="K402" s="582" t="s">
        <v>480</v>
      </c>
      <c r="L402" s="582" t="s">
        <v>1047</v>
      </c>
      <c r="M402" s="582" t="s">
        <v>480</v>
      </c>
      <c r="N402" s="582" t="s">
        <v>480</v>
      </c>
      <c r="O402" s="582" t="s">
        <v>480</v>
      </c>
      <c r="P402" s="582" t="s">
        <v>480</v>
      </c>
      <c r="Q402" s="582" t="s">
        <v>480</v>
      </c>
      <c r="R402" s="582" t="s">
        <v>480</v>
      </c>
      <c r="S402" s="582" t="s">
        <v>480</v>
      </c>
      <c r="T402" s="650" t="s">
        <v>480</v>
      </c>
      <c r="U402" s="650"/>
      <c r="V402" s="650" t="s">
        <v>480</v>
      </c>
      <c r="W402" s="650"/>
    </row>
    <row r="403" spans="1:23" ht="17.25" customHeight="1">
      <c r="A403" s="648"/>
      <c r="B403" s="648"/>
      <c r="C403" s="577"/>
      <c r="D403" s="577" t="s">
        <v>590</v>
      </c>
      <c r="E403" s="651" t="s">
        <v>591</v>
      </c>
      <c r="F403" s="651"/>
      <c r="G403" s="650" t="s">
        <v>1048</v>
      </c>
      <c r="H403" s="650"/>
      <c r="I403" s="582" t="s">
        <v>1048</v>
      </c>
      <c r="J403" s="582" t="s">
        <v>1048</v>
      </c>
      <c r="K403" s="582" t="s">
        <v>480</v>
      </c>
      <c r="L403" s="582" t="s">
        <v>1048</v>
      </c>
      <c r="M403" s="582" t="s">
        <v>480</v>
      </c>
      <c r="N403" s="582" t="s">
        <v>480</v>
      </c>
      <c r="O403" s="582" t="s">
        <v>480</v>
      </c>
      <c r="P403" s="582" t="s">
        <v>480</v>
      </c>
      <c r="Q403" s="582" t="s">
        <v>480</v>
      </c>
      <c r="R403" s="582" t="s">
        <v>480</v>
      </c>
      <c r="S403" s="582" t="s">
        <v>480</v>
      </c>
      <c r="T403" s="650" t="s">
        <v>480</v>
      </c>
      <c r="U403" s="650"/>
      <c r="V403" s="650" t="s">
        <v>480</v>
      </c>
      <c r="W403" s="650"/>
    </row>
    <row r="404" spans="1:23" ht="42" customHeight="1">
      <c r="A404" s="648"/>
      <c r="B404" s="648"/>
      <c r="C404" s="577" t="s">
        <v>880</v>
      </c>
      <c r="D404" s="577"/>
      <c r="E404" s="651" t="s">
        <v>881</v>
      </c>
      <c r="F404" s="651"/>
      <c r="G404" s="650" t="s">
        <v>592</v>
      </c>
      <c r="H404" s="650"/>
      <c r="I404" s="582" t="s">
        <v>592</v>
      </c>
      <c r="J404" s="582" t="s">
        <v>592</v>
      </c>
      <c r="K404" s="582" t="s">
        <v>592</v>
      </c>
      <c r="L404" s="582" t="s">
        <v>480</v>
      </c>
      <c r="M404" s="582" t="s">
        <v>480</v>
      </c>
      <c r="N404" s="582" t="s">
        <v>480</v>
      </c>
      <c r="O404" s="582" t="s">
        <v>480</v>
      </c>
      <c r="P404" s="582" t="s">
        <v>480</v>
      </c>
      <c r="Q404" s="582" t="s">
        <v>480</v>
      </c>
      <c r="R404" s="582" t="s">
        <v>480</v>
      </c>
      <c r="S404" s="582" t="s">
        <v>480</v>
      </c>
      <c r="T404" s="650" t="s">
        <v>480</v>
      </c>
      <c r="U404" s="650"/>
      <c r="V404" s="650" t="s">
        <v>480</v>
      </c>
      <c r="W404" s="650"/>
    </row>
    <row r="405" spans="1:23" ht="13.5" customHeight="1">
      <c r="A405" s="648"/>
      <c r="B405" s="648"/>
      <c r="C405" s="577"/>
      <c r="D405" s="577" t="s">
        <v>883</v>
      </c>
      <c r="E405" s="651" t="s">
        <v>884</v>
      </c>
      <c r="F405" s="651"/>
      <c r="G405" s="650" t="s">
        <v>592</v>
      </c>
      <c r="H405" s="650"/>
      <c r="I405" s="582" t="s">
        <v>592</v>
      </c>
      <c r="J405" s="582" t="s">
        <v>592</v>
      </c>
      <c r="K405" s="582" t="s">
        <v>592</v>
      </c>
      <c r="L405" s="582" t="s">
        <v>480</v>
      </c>
      <c r="M405" s="582" t="s">
        <v>480</v>
      </c>
      <c r="N405" s="582" t="s">
        <v>480</v>
      </c>
      <c r="O405" s="582" t="s">
        <v>480</v>
      </c>
      <c r="P405" s="582" t="s">
        <v>480</v>
      </c>
      <c r="Q405" s="582" t="s">
        <v>480</v>
      </c>
      <c r="R405" s="582" t="s">
        <v>480</v>
      </c>
      <c r="S405" s="582" t="s">
        <v>480</v>
      </c>
      <c r="T405" s="650" t="s">
        <v>480</v>
      </c>
      <c r="U405" s="650"/>
      <c r="V405" s="650" t="s">
        <v>480</v>
      </c>
      <c r="W405" s="650"/>
    </row>
    <row r="406" spans="1:23" ht="13.5" customHeight="1">
      <c r="A406" s="652" t="s">
        <v>489</v>
      </c>
      <c r="B406" s="652"/>
      <c r="C406" s="652"/>
      <c r="D406" s="652"/>
      <c r="E406" s="652"/>
      <c r="F406" s="652"/>
      <c r="G406" s="653" t="s">
        <v>1049</v>
      </c>
      <c r="H406" s="653"/>
      <c r="I406" s="583" t="s">
        <v>1049</v>
      </c>
      <c r="J406" s="583" t="s">
        <v>1050</v>
      </c>
      <c r="K406" s="583" t="s">
        <v>1051</v>
      </c>
      <c r="L406" s="583" t="s">
        <v>1052</v>
      </c>
      <c r="M406" s="583" t="s">
        <v>480</v>
      </c>
      <c r="N406" s="583" t="s">
        <v>1032</v>
      </c>
      <c r="O406" s="583" t="s">
        <v>480</v>
      </c>
      <c r="P406" s="583" t="s">
        <v>480</v>
      </c>
      <c r="Q406" s="583" t="s">
        <v>480</v>
      </c>
      <c r="R406" s="583" t="s">
        <v>480</v>
      </c>
      <c r="S406" s="583" t="s">
        <v>480</v>
      </c>
      <c r="T406" s="653" t="s">
        <v>480</v>
      </c>
      <c r="U406" s="653"/>
      <c r="V406" s="653" t="s">
        <v>480</v>
      </c>
      <c r="W406" s="653"/>
    </row>
  </sheetData>
  <mergeCells count="1970">
    <mergeCell ref="V96:W96"/>
    <mergeCell ref="A96:B96"/>
    <mergeCell ref="G96:H96"/>
    <mergeCell ref="E96:F96"/>
    <mergeCell ref="T96:U96"/>
    <mergeCell ref="A5:W5"/>
    <mergeCell ref="V405:W405"/>
    <mergeCell ref="A406:F406"/>
    <mergeCell ref="G406:H406"/>
    <mergeCell ref="T406:U406"/>
    <mergeCell ref="V406:W406"/>
    <mergeCell ref="A405:B405"/>
    <mergeCell ref="E405:F405"/>
    <mergeCell ref="G405:H405"/>
    <mergeCell ref="T405:U405"/>
    <mergeCell ref="V403:W403"/>
    <mergeCell ref="A404:B404"/>
    <mergeCell ref="E404:F404"/>
    <mergeCell ref="G404:H404"/>
    <mergeCell ref="T404:U404"/>
    <mergeCell ref="V404:W404"/>
    <mergeCell ref="A403:B403"/>
    <mergeCell ref="E403:F403"/>
    <mergeCell ref="G403:H403"/>
    <mergeCell ref="T403:U403"/>
    <mergeCell ref="V401:W401"/>
    <mergeCell ref="A402:B402"/>
    <mergeCell ref="E402:F402"/>
    <mergeCell ref="G402:H402"/>
    <mergeCell ref="T402:U402"/>
    <mergeCell ref="V402:W402"/>
    <mergeCell ref="A401:B401"/>
    <mergeCell ref="E401:F401"/>
    <mergeCell ref="G401:H401"/>
    <mergeCell ref="T401:U401"/>
    <mergeCell ref="V399:W399"/>
    <mergeCell ref="A400:B400"/>
    <mergeCell ref="E400:F400"/>
    <mergeCell ref="G400:H400"/>
    <mergeCell ref="T400:U400"/>
    <mergeCell ref="V400:W400"/>
    <mergeCell ref="A399:B399"/>
    <mergeCell ref="E399:F399"/>
    <mergeCell ref="G399:H399"/>
    <mergeCell ref="T399:U399"/>
    <mergeCell ref="V397:W397"/>
    <mergeCell ref="A398:B398"/>
    <mergeCell ref="E398:F398"/>
    <mergeCell ref="G398:H398"/>
    <mergeCell ref="T398:U398"/>
    <mergeCell ref="V398:W398"/>
    <mergeCell ref="A397:B397"/>
    <mergeCell ref="E397:F397"/>
    <mergeCell ref="G397:H397"/>
    <mergeCell ref="T397:U397"/>
    <mergeCell ref="V395:W395"/>
    <mergeCell ref="A396:B396"/>
    <mergeCell ref="E396:F396"/>
    <mergeCell ref="G396:H396"/>
    <mergeCell ref="T396:U396"/>
    <mergeCell ref="V396:W396"/>
    <mergeCell ref="A395:B395"/>
    <mergeCell ref="E395:F395"/>
    <mergeCell ref="G395:H395"/>
    <mergeCell ref="T395:U395"/>
    <mergeCell ref="V393:W393"/>
    <mergeCell ref="A394:B394"/>
    <mergeCell ref="E394:F394"/>
    <mergeCell ref="G394:H394"/>
    <mergeCell ref="T394:U394"/>
    <mergeCell ref="V394:W394"/>
    <mergeCell ref="A393:B393"/>
    <mergeCell ref="E393:F393"/>
    <mergeCell ref="G393:H393"/>
    <mergeCell ref="T393:U393"/>
    <mergeCell ref="V391:W391"/>
    <mergeCell ref="A392:B392"/>
    <mergeCell ref="E392:F392"/>
    <mergeCell ref="G392:H392"/>
    <mergeCell ref="T392:U392"/>
    <mergeCell ref="V392:W392"/>
    <mergeCell ref="A391:B391"/>
    <mergeCell ref="E391:F391"/>
    <mergeCell ref="G391:H391"/>
    <mergeCell ref="T391:U391"/>
    <mergeCell ref="V389:W389"/>
    <mergeCell ref="A390:B390"/>
    <mergeCell ref="E390:F390"/>
    <mergeCell ref="G390:H390"/>
    <mergeCell ref="T390:U390"/>
    <mergeCell ref="V390:W390"/>
    <mergeCell ref="A389:B389"/>
    <mergeCell ref="E389:F389"/>
    <mergeCell ref="G389:H389"/>
    <mergeCell ref="T389:U389"/>
    <mergeCell ref="V387:W387"/>
    <mergeCell ref="A388:B388"/>
    <mergeCell ref="E388:F388"/>
    <mergeCell ref="G388:H388"/>
    <mergeCell ref="T388:U388"/>
    <mergeCell ref="V388:W388"/>
    <mergeCell ref="A387:B387"/>
    <mergeCell ref="E387:F387"/>
    <mergeCell ref="G387:H387"/>
    <mergeCell ref="T387:U387"/>
    <mergeCell ref="V385:W385"/>
    <mergeCell ref="A386:B386"/>
    <mergeCell ref="E386:F386"/>
    <mergeCell ref="G386:H386"/>
    <mergeCell ref="T386:U386"/>
    <mergeCell ref="V386:W386"/>
    <mergeCell ref="A385:B385"/>
    <mergeCell ref="E385:F385"/>
    <mergeCell ref="G385:H385"/>
    <mergeCell ref="T385:U385"/>
    <mergeCell ref="V383:W383"/>
    <mergeCell ref="A384:B384"/>
    <mergeCell ref="E384:F384"/>
    <mergeCell ref="G384:H384"/>
    <mergeCell ref="T384:U384"/>
    <mergeCell ref="V384:W384"/>
    <mergeCell ref="A383:B383"/>
    <mergeCell ref="E383:F383"/>
    <mergeCell ref="G383:H383"/>
    <mergeCell ref="T383:U383"/>
    <mergeCell ref="V381:W381"/>
    <mergeCell ref="A382:B382"/>
    <mergeCell ref="E382:F382"/>
    <mergeCell ref="G382:H382"/>
    <mergeCell ref="T382:U382"/>
    <mergeCell ref="V382:W382"/>
    <mergeCell ref="A381:B381"/>
    <mergeCell ref="E381:F381"/>
    <mergeCell ref="G381:H381"/>
    <mergeCell ref="T381:U381"/>
    <mergeCell ref="A380:B380"/>
    <mergeCell ref="E380:F380"/>
    <mergeCell ref="G380:H380"/>
    <mergeCell ref="T380:U380"/>
    <mergeCell ref="V380:W380"/>
    <mergeCell ref="V378:W378"/>
    <mergeCell ref="A379:B379"/>
    <mergeCell ref="E379:F379"/>
    <mergeCell ref="G379:H379"/>
    <mergeCell ref="T379:U379"/>
    <mergeCell ref="V379:W379"/>
    <mergeCell ref="A378:B378"/>
    <mergeCell ref="E378:F378"/>
    <mergeCell ref="G378:H378"/>
    <mergeCell ref="T378:U378"/>
    <mergeCell ref="V376:W376"/>
    <mergeCell ref="A377:B377"/>
    <mergeCell ref="E377:F377"/>
    <mergeCell ref="G377:H377"/>
    <mergeCell ref="T377:U377"/>
    <mergeCell ref="V377:W377"/>
    <mergeCell ref="A376:B376"/>
    <mergeCell ref="E376:F376"/>
    <mergeCell ref="G376:H376"/>
    <mergeCell ref="T376:U376"/>
    <mergeCell ref="V374:W374"/>
    <mergeCell ref="A375:B375"/>
    <mergeCell ref="E375:F375"/>
    <mergeCell ref="G375:H375"/>
    <mergeCell ref="T375:U375"/>
    <mergeCell ref="V375:W375"/>
    <mergeCell ref="A374:B374"/>
    <mergeCell ref="E374:F374"/>
    <mergeCell ref="G374:H374"/>
    <mergeCell ref="T374:U374"/>
    <mergeCell ref="V372:W372"/>
    <mergeCell ref="A373:B373"/>
    <mergeCell ref="E373:F373"/>
    <mergeCell ref="G373:H373"/>
    <mergeCell ref="T373:U373"/>
    <mergeCell ref="V373:W373"/>
    <mergeCell ref="P369:P371"/>
    <mergeCell ref="Q369:Q371"/>
    <mergeCell ref="T370:U371"/>
    <mergeCell ref="A372:B372"/>
    <mergeCell ref="E372:F372"/>
    <mergeCell ref="G372:H372"/>
    <mergeCell ref="T372:U372"/>
    <mergeCell ref="K369:L370"/>
    <mergeCell ref="M369:M371"/>
    <mergeCell ref="N369:N371"/>
    <mergeCell ref="O369:O371"/>
    <mergeCell ref="G366:H371"/>
    <mergeCell ref="I366:W366"/>
    <mergeCell ref="I367:I371"/>
    <mergeCell ref="J367:Q368"/>
    <mergeCell ref="R367:R371"/>
    <mergeCell ref="S367:W367"/>
    <mergeCell ref="S368:S371"/>
    <mergeCell ref="T368:U369"/>
    <mergeCell ref="V368:W371"/>
    <mergeCell ref="J369:J371"/>
    <mergeCell ref="A366:B371"/>
    <mergeCell ref="C366:C371"/>
    <mergeCell ref="D366:D371"/>
    <mergeCell ref="E366:F371"/>
    <mergeCell ref="B365:E365"/>
    <mergeCell ref="F365:G365"/>
    <mergeCell ref="H365:W365"/>
    <mergeCell ref="V363:W363"/>
    <mergeCell ref="A364:F364"/>
    <mergeCell ref="G364:H364"/>
    <mergeCell ref="T364:U364"/>
    <mergeCell ref="V364:W364"/>
    <mergeCell ref="A363:B363"/>
    <mergeCell ref="E363:F363"/>
    <mergeCell ref="G363:H363"/>
    <mergeCell ref="T363:U363"/>
    <mergeCell ref="V361:W361"/>
    <mergeCell ref="A362:B362"/>
    <mergeCell ref="E362:F362"/>
    <mergeCell ref="G362:H362"/>
    <mergeCell ref="T362:U362"/>
    <mergeCell ref="V362:W362"/>
    <mergeCell ref="A361:B361"/>
    <mergeCell ref="E361:F361"/>
    <mergeCell ref="G361:H361"/>
    <mergeCell ref="T361:U361"/>
    <mergeCell ref="V359:W359"/>
    <mergeCell ref="A360:B360"/>
    <mergeCell ref="E360:F360"/>
    <mergeCell ref="G360:H360"/>
    <mergeCell ref="T360:U360"/>
    <mergeCell ref="V360:W360"/>
    <mergeCell ref="A359:B359"/>
    <mergeCell ref="E359:F359"/>
    <mergeCell ref="G359:H359"/>
    <mergeCell ref="T359:U359"/>
    <mergeCell ref="V357:W357"/>
    <mergeCell ref="A358:B358"/>
    <mergeCell ref="E358:F358"/>
    <mergeCell ref="G358:H358"/>
    <mergeCell ref="T358:U358"/>
    <mergeCell ref="V358:W358"/>
    <mergeCell ref="A357:B357"/>
    <mergeCell ref="E357:F357"/>
    <mergeCell ref="G357:H357"/>
    <mergeCell ref="T357:U357"/>
    <mergeCell ref="V355:W355"/>
    <mergeCell ref="A356:B356"/>
    <mergeCell ref="E356:F356"/>
    <mergeCell ref="G356:H356"/>
    <mergeCell ref="T356:U356"/>
    <mergeCell ref="V356:W356"/>
    <mergeCell ref="A355:B355"/>
    <mergeCell ref="E355:F355"/>
    <mergeCell ref="G355:H355"/>
    <mergeCell ref="T355:U355"/>
    <mergeCell ref="V353:W353"/>
    <mergeCell ref="A354:B354"/>
    <mergeCell ref="E354:F354"/>
    <mergeCell ref="G354:H354"/>
    <mergeCell ref="T354:U354"/>
    <mergeCell ref="V354:W354"/>
    <mergeCell ref="A353:B353"/>
    <mergeCell ref="E353:F353"/>
    <mergeCell ref="G353:H353"/>
    <mergeCell ref="T353:U353"/>
    <mergeCell ref="V351:W351"/>
    <mergeCell ref="A352:B352"/>
    <mergeCell ref="E352:F352"/>
    <mergeCell ref="G352:H352"/>
    <mergeCell ref="T352:U352"/>
    <mergeCell ref="V352:W352"/>
    <mergeCell ref="A351:B351"/>
    <mergeCell ref="E351:F351"/>
    <mergeCell ref="G351:H351"/>
    <mergeCell ref="T351:U351"/>
    <mergeCell ref="V349:W349"/>
    <mergeCell ref="A350:B350"/>
    <mergeCell ref="E350:F350"/>
    <mergeCell ref="G350:H350"/>
    <mergeCell ref="T350:U350"/>
    <mergeCell ref="V350:W350"/>
    <mergeCell ref="A349:B349"/>
    <mergeCell ref="E349:F349"/>
    <mergeCell ref="G349:H349"/>
    <mergeCell ref="T349:U349"/>
    <mergeCell ref="V347:W347"/>
    <mergeCell ref="A348:B348"/>
    <mergeCell ref="E348:F348"/>
    <mergeCell ref="G348:H348"/>
    <mergeCell ref="T348:U348"/>
    <mergeCell ref="V348:W348"/>
    <mergeCell ref="A347:B347"/>
    <mergeCell ref="E347:F347"/>
    <mergeCell ref="G347:H347"/>
    <mergeCell ref="T347:U347"/>
    <mergeCell ref="V345:W345"/>
    <mergeCell ref="A346:B346"/>
    <mergeCell ref="E346:F346"/>
    <mergeCell ref="G346:H346"/>
    <mergeCell ref="T346:U346"/>
    <mergeCell ref="V346:W346"/>
    <mergeCell ref="A345:B345"/>
    <mergeCell ref="E345:F345"/>
    <mergeCell ref="G345:H345"/>
    <mergeCell ref="T345:U345"/>
    <mergeCell ref="V343:W343"/>
    <mergeCell ref="A344:B344"/>
    <mergeCell ref="E344:F344"/>
    <mergeCell ref="G344:H344"/>
    <mergeCell ref="T344:U344"/>
    <mergeCell ref="V344:W344"/>
    <mergeCell ref="A343:B343"/>
    <mergeCell ref="E343:F343"/>
    <mergeCell ref="G343:H343"/>
    <mergeCell ref="T343:U343"/>
    <mergeCell ref="V341:W341"/>
    <mergeCell ref="A342:B342"/>
    <mergeCell ref="E342:F342"/>
    <mergeCell ref="G342:H342"/>
    <mergeCell ref="T342:U342"/>
    <mergeCell ref="V342:W342"/>
    <mergeCell ref="A341:B341"/>
    <mergeCell ref="E341:F341"/>
    <mergeCell ref="G341:H341"/>
    <mergeCell ref="T341:U341"/>
    <mergeCell ref="V339:W339"/>
    <mergeCell ref="A340:B340"/>
    <mergeCell ref="E340:F340"/>
    <mergeCell ref="G340:H340"/>
    <mergeCell ref="T340:U340"/>
    <mergeCell ref="V340:W340"/>
    <mergeCell ref="A339:B339"/>
    <mergeCell ref="E339:F339"/>
    <mergeCell ref="G339:H339"/>
    <mergeCell ref="T339:U339"/>
    <mergeCell ref="V337:W337"/>
    <mergeCell ref="A338:B338"/>
    <mergeCell ref="E338:F338"/>
    <mergeCell ref="G338:H338"/>
    <mergeCell ref="T338:U338"/>
    <mergeCell ref="V338:W338"/>
    <mergeCell ref="A337:B337"/>
    <mergeCell ref="E337:F337"/>
    <mergeCell ref="G337:H337"/>
    <mergeCell ref="T337:U337"/>
    <mergeCell ref="V335:W335"/>
    <mergeCell ref="A336:B336"/>
    <mergeCell ref="E336:F336"/>
    <mergeCell ref="G336:H336"/>
    <mergeCell ref="T336:U336"/>
    <mergeCell ref="V336:W336"/>
    <mergeCell ref="A335:B335"/>
    <mergeCell ref="E335:F335"/>
    <mergeCell ref="G335:H335"/>
    <mergeCell ref="T335:U335"/>
    <mergeCell ref="V333:W333"/>
    <mergeCell ref="A334:B334"/>
    <mergeCell ref="E334:F334"/>
    <mergeCell ref="G334:H334"/>
    <mergeCell ref="T334:U334"/>
    <mergeCell ref="V334:W334"/>
    <mergeCell ref="A333:B333"/>
    <mergeCell ref="E333:F333"/>
    <mergeCell ref="G333:H333"/>
    <mergeCell ref="T333:U333"/>
    <mergeCell ref="V331:W331"/>
    <mergeCell ref="A332:B332"/>
    <mergeCell ref="E332:F332"/>
    <mergeCell ref="G332:H332"/>
    <mergeCell ref="T332:U332"/>
    <mergeCell ref="V332:W332"/>
    <mergeCell ref="A331:B331"/>
    <mergeCell ref="E331:F331"/>
    <mergeCell ref="G331:H331"/>
    <mergeCell ref="T331:U331"/>
    <mergeCell ref="V329:W329"/>
    <mergeCell ref="A330:B330"/>
    <mergeCell ref="E330:F330"/>
    <mergeCell ref="G330:H330"/>
    <mergeCell ref="T330:U330"/>
    <mergeCell ref="V330:W330"/>
    <mergeCell ref="A329:B329"/>
    <mergeCell ref="E329:F329"/>
    <mergeCell ref="G329:H329"/>
    <mergeCell ref="T329:U329"/>
    <mergeCell ref="V327:W327"/>
    <mergeCell ref="A328:B328"/>
    <mergeCell ref="E328:F328"/>
    <mergeCell ref="G328:H328"/>
    <mergeCell ref="T328:U328"/>
    <mergeCell ref="V328:W328"/>
    <mergeCell ref="A327:B327"/>
    <mergeCell ref="E327:F327"/>
    <mergeCell ref="G327:H327"/>
    <mergeCell ref="T327:U327"/>
    <mergeCell ref="V325:W325"/>
    <mergeCell ref="A326:B326"/>
    <mergeCell ref="E326:F326"/>
    <mergeCell ref="G326:H326"/>
    <mergeCell ref="T326:U326"/>
    <mergeCell ref="V326:W326"/>
    <mergeCell ref="A325:B325"/>
    <mergeCell ref="E325:F325"/>
    <mergeCell ref="G325:H325"/>
    <mergeCell ref="T325:U325"/>
    <mergeCell ref="V323:W323"/>
    <mergeCell ref="A324:B324"/>
    <mergeCell ref="E324:F324"/>
    <mergeCell ref="G324:H324"/>
    <mergeCell ref="T324:U324"/>
    <mergeCell ref="V324:W324"/>
    <mergeCell ref="A323:B323"/>
    <mergeCell ref="E323:F323"/>
    <mergeCell ref="G323:H323"/>
    <mergeCell ref="T323:U323"/>
    <mergeCell ref="V321:W321"/>
    <mergeCell ref="A322:B322"/>
    <mergeCell ref="E322:F322"/>
    <mergeCell ref="G322:H322"/>
    <mergeCell ref="T322:U322"/>
    <mergeCell ref="V322:W322"/>
    <mergeCell ref="A321:B321"/>
    <mergeCell ref="E321:F321"/>
    <mergeCell ref="G321:H321"/>
    <mergeCell ref="T321:U321"/>
    <mergeCell ref="V319:W319"/>
    <mergeCell ref="A320:B320"/>
    <mergeCell ref="E320:F320"/>
    <mergeCell ref="G320:H320"/>
    <mergeCell ref="T320:U320"/>
    <mergeCell ref="V320:W320"/>
    <mergeCell ref="A319:B319"/>
    <mergeCell ref="E319:F319"/>
    <mergeCell ref="G319:H319"/>
    <mergeCell ref="T319:U319"/>
    <mergeCell ref="V317:W317"/>
    <mergeCell ref="A318:B318"/>
    <mergeCell ref="E318:F318"/>
    <mergeCell ref="G318:H318"/>
    <mergeCell ref="T318:U318"/>
    <mergeCell ref="V318:W318"/>
    <mergeCell ref="A317:B317"/>
    <mergeCell ref="E317:F317"/>
    <mergeCell ref="G317:H317"/>
    <mergeCell ref="T317:U317"/>
    <mergeCell ref="V315:W315"/>
    <mergeCell ref="A316:B316"/>
    <mergeCell ref="E316:F316"/>
    <mergeCell ref="G316:H316"/>
    <mergeCell ref="T316:U316"/>
    <mergeCell ref="V316:W316"/>
    <mergeCell ref="A315:B315"/>
    <mergeCell ref="E315:F315"/>
    <mergeCell ref="G315:H315"/>
    <mergeCell ref="T315:U315"/>
    <mergeCell ref="V313:W313"/>
    <mergeCell ref="A314:B314"/>
    <mergeCell ref="E314:F314"/>
    <mergeCell ref="G314:H314"/>
    <mergeCell ref="T314:U314"/>
    <mergeCell ref="V314:W314"/>
    <mergeCell ref="A313:B313"/>
    <mergeCell ref="E313:F313"/>
    <mergeCell ref="G313:H313"/>
    <mergeCell ref="T313:U313"/>
    <mergeCell ref="V311:W311"/>
    <mergeCell ref="A312:B312"/>
    <mergeCell ref="E312:F312"/>
    <mergeCell ref="G312:H312"/>
    <mergeCell ref="T312:U312"/>
    <mergeCell ref="V312:W312"/>
    <mergeCell ref="A311:B311"/>
    <mergeCell ref="E311:F311"/>
    <mergeCell ref="G311:H311"/>
    <mergeCell ref="T311:U311"/>
    <mergeCell ref="A310:B310"/>
    <mergeCell ref="E310:F310"/>
    <mergeCell ref="G310:H310"/>
    <mergeCell ref="T310:U310"/>
    <mergeCell ref="V310:W310"/>
    <mergeCell ref="V309:W309"/>
    <mergeCell ref="A309:B309"/>
    <mergeCell ref="E309:F309"/>
    <mergeCell ref="G309:H309"/>
    <mergeCell ref="T309:U309"/>
    <mergeCell ref="V307:W307"/>
    <mergeCell ref="A308:B308"/>
    <mergeCell ref="E308:F308"/>
    <mergeCell ref="G308:H308"/>
    <mergeCell ref="T308:U308"/>
    <mergeCell ref="V308:W308"/>
    <mergeCell ref="A307:B307"/>
    <mergeCell ref="E307:F307"/>
    <mergeCell ref="G307:H307"/>
    <mergeCell ref="T307:U307"/>
    <mergeCell ref="V305:W305"/>
    <mergeCell ref="A306:B306"/>
    <mergeCell ref="E306:F306"/>
    <mergeCell ref="G306:H306"/>
    <mergeCell ref="T306:U306"/>
    <mergeCell ref="V306:W306"/>
    <mergeCell ref="A305:B305"/>
    <mergeCell ref="E305:F305"/>
    <mergeCell ref="G305:H305"/>
    <mergeCell ref="T305:U305"/>
    <mergeCell ref="V303:W303"/>
    <mergeCell ref="A304:B304"/>
    <mergeCell ref="E304:F304"/>
    <mergeCell ref="G304:H304"/>
    <mergeCell ref="T304:U304"/>
    <mergeCell ref="V304:W304"/>
    <mergeCell ref="A303:B303"/>
    <mergeCell ref="E303:F303"/>
    <mergeCell ref="G303:H303"/>
    <mergeCell ref="T303:U303"/>
    <mergeCell ref="V301:W301"/>
    <mergeCell ref="A302:B302"/>
    <mergeCell ref="E302:F302"/>
    <mergeCell ref="G302:H302"/>
    <mergeCell ref="T302:U302"/>
    <mergeCell ref="V302:W302"/>
    <mergeCell ref="A301:B301"/>
    <mergeCell ref="E301:F301"/>
    <mergeCell ref="G301:H301"/>
    <mergeCell ref="T301:U301"/>
    <mergeCell ref="V299:W299"/>
    <mergeCell ref="A300:B300"/>
    <mergeCell ref="E300:F300"/>
    <mergeCell ref="G300:H300"/>
    <mergeCell ref="T300:U300"/>
    <mergeCell ref="V300:W300"/>
    <mergeCell ref="A299:B299"/>
    <mergeCell ref="E299:F299"/>
    <mergeCell ref="G299:H299"/>
    <mergeCell ref="T299:U299"/>
    <mergeCell ref="V297:W297"/>
    <mergeCell ref="A298:B298"/>
    <mergeCell ref="E298:F298"/>
    <mergeCell ref="G298:H298"/>
    <mergeCell ref="T298:U298"/>
    <mergeCell ref="V298:W298"/>
    <mergeCell ref="A297:B297"/>
    <mergeCell ref="E297:F297"/>
    <mergeCell ref="G297:H297"/>
    <mergeCell ref="T297:U297"/>
    <mergeCell ref="V295:W295"/>
    <mergeCell ref="A296:B296"/>
    <mergeCell ref="E296:F296"/>
    <mergeCell ref="G296:H296"/>
    <mergeCell ref="T296:U296"/>
    <mergeCell ref="V296:W296"/>
    <mergeCell ref="A295:B295"/>
    <mergeCell ref="E295:F295"/>
    <mergeCell ref="G295:H295"/>
    <mergeCell ref="T295:U295"/>
    <mergeCell ref="V293:W293"/>
    <mergeCell ref="A294:B294"/>
    <mergeCell ref="E294:F294"/>
    <mergeCell ref="G294:H294"/>
    <mergeCell ref="T294:U294"/>
    <mergeCell ref="V294:W294"/>
    <mergeCell ref="A293:B293"/>
    <mergeCell ref="E293:F293"/>
    <mergeCell ref="G293:H293"/>
    <mergeCell ref="T293:U293"/>
    <mergeCell ref="V291:W291"/>
    <mergeCell ref="A292:B292"/>
    <mergeCell ref="E292:F292"/>
    <mergeCell ref="G292:H292"/>
    <mergeCell ref="T292:U292"/>
    <mergeCell ref="V292:W292"/>
    <mergeCell ref="A291:B291"/>
    <mergeCell ref="E291:F291"/>
    <mergeCell ref="G291:H291"/>
    <mergeCell ref="T291:U291"/>
    <mergeCell ref="V289:W289"/>
    <mergeCell ref="A290:B290"/>
    <mergeCell ref="E290:F290"/>
    <mergeCell ref="G290:H290"/>
    <mergeCell ref="T290:U290"/>
    <mergeCell ref="V290:W290"/>
    <mergeCell ref="A289:B289"/>
    <mergeCell ref="E289:F289"/>
    <mergeCell ref="G289:H289"/>
    <mergeCell ref="T289:U289"/>
    <mergeCell ref="V287:W287"/>
    <mergeCell ref="A288:B288"/>
    <mergeCell ref="E288:F288"/>
    <mergeCell ref="G288:H288"/>
    <mergeCell ref="T288:U288"/>
    <mergeCell ref="V288:W288"/>
    <mergeCell ref="A287:B287"/>
    <mergeCell ref="E287:F287"/>
    <mergeCell ref="G287:H287"/>
    <mergeCell ref="T287:U287"/>
    <mergeCell ref="V285:W285"/>
    <mergeCell ref="A286:B286"/>
    <mergeCell ref="E286:F286"/>
    <mergeCell ref="G286:H286"/>
    <mergeCell ref="T286:U286"/>
    <mergeCell ref="V286:W286"/>
    <mergeCell ref="A285:B285"/>
    <mergeCell ref="E285:F285"/>
    <mergeCell ref="G285:H285"/>
    <mergeCell ref="T285:U285"/>
    <mergeCell ref="V283:W283"/>
    <mergeCell ref="A284:B284"/>
    <mergeCell ref="E284:F284"/>
    <mergeCell ref="G284:H284"/>
    <mergeCell ref="T284:U284"/>
    <mergeCell ref="V284:W284"/>
    <mergeCell ref="A283:B283"/>
    <mergeCell ref="E283:F283"/>
    <mergeCell ref="G283:H283"/>
    <mergeCell ref="T283:U283"/>
    <mergeCell ref="V281:W281"/>
    <mergeCell ref="A282:B282"/>
    <mergeCell ref="E282:F282"/>
    <mergeCell ref="G282:H282"/>
    <mergeCell ref="T282:U282"/>
    <mergeCell ref="V282:W282"/>
    <mergeCell ref="A281:B281"/>
    <mergeCell ref="E281:F281"/>
    <mergeCell ref="G281:H281"/>
    <mergeCell ref="T281:U281"/>
    <mergeCell ref="V279:W279"/>
    <mergeCell ref="A280:B280"/>
    <mergeCell ref="E280:F280"/>
    <mergeCell ref="G280:H280"/>
    <mergeCell ref="T280:U280"/>
    <mergeCell ref="V280:W280"/>
    <mergeCell ref="A279:B279"/>
    <mergeCell ref="E279:F279"/>
    <mergeCell ref="G279:H279"/>
    <mergeCell ref="T279:U279"/>
    <mergeCell ref="V277:W277"/>
    <mergeCell ref="A278:B278"/>
    <mergeCell ref="E278:F278"/>
    <mergeCell ref="G278:H278"/>
    <mergeCell ref="T278:U278"/>
    <mergeCell ref="V278:W278"/>
    <mergeCell ref="A277:B277"/>
    <mergeCell ref="E277:F277"/>
    <mergeCell ref="G277:H277"/>
    <mergeCell ref="T277:U277"/>
    <mergeCell ref="V276:W276"/>
    <mergeCell ref="V275:W275"/>
    <mergeCell ref="A275:B275"/>
    <mergeCell ref="E275:F275"/>
    <mergeCell ref="G275:H275"/>
    <mergeCell ref="T275:U275"/>
    <mergeCell ref="A276:B276"/>
    <mergeCell ref="E276:F276"/>
    <mergeCell ref="G276:H276"/>
    <mergeCell ref="T276:U276"/>
    <mergeCell ref="V273:W273"/>
    <mergeCell ref="A274:B274"/>
    <mergeCell ref="E274:F274"/>
    <mergeCell ref="G274:H274"/>
    <mergeCell ref="T274:U274"/>
    <mergeCell ref="V274:W274"/>
    <mergeCell ref="A273:B273"/>
    <mergeCell ref="E273:F273"/>
    <mergeCell ref="G273:H273"/>
    <mergeCell ref="T273:U273"/>
    <mergeCell ref="V271:W271"/>
    <mergeCell ref="A272:B272"/>
    <mergeCell ref="E272:F272"/>
    <mergeCell ref="G272:H272"/>
    <mergeCell ref="T272:U272"/>
    <mergeCell ref="V272:W272"/>
    <mergeCell ref="A271:B271"/>
    <mergeCell ref="E271:F271"/>
    <mergeCell ref="G271:H271"/>
    <mergeCell ref="T271:U271"/>
    <mergeCell ref="V269:W269"/>
    <mergeCell ref="A270:B270"/>
    <mergeCell ref="E270:F270"/>
    <mergeCell ref="G270:H270"/>
    <mergeCell ref="T270:U270"/>
    <mergeCell ref="V270:W270"/>
    <mergeCell ref="A269:B269"/>
    <mergeCell ref="E269:F269"/>
    <mergeCell ref="G269:H269"/>
    <mergeCell ref="T269:U269"/>
    <mergeCell ref="V267:W267"/>
    <mergeCell ref="A268:B268"/>
    <mergeCell ref="E268:F268"/>
    <mergeCell ref="G268:H268"/>
    <mergeCell ref="T268:U268"/>
    <mergeCell ref="V268:W268"/>
    <mergeCell ref="A267:B267"/>
    <mergeCell ref="E267:F267"/>
    <mergeCell ref="G267:H267"/>
    <mergeCell ref="T267:U267"/>
    <mergeCell ref="V265:W265"/>
    <mergeCell ref="A266:B266"/>
    <mergeCell ref="E266:F266"/>
    <mergeCell ref="G266:H266"/>
    <mergeCell ref="T266:U266"/>
    <mergeCell ref="V266:W266"/>
    <mergeCell ref="A265:B265"/>
    <mergeCell ref="E265:F265"/>
    <mergeCell ref="G265:H265"/>
    <mergeCell ref="T265:U265"/>
    <mergeCell ref="V263:W263"/>
    <mergeCell ref="A264:B264"/>
    <mergeCell ref="E264:F264"/>
    <mergeCell ref="G264:H264"/>
    <mergeCell ref="T264:U264"/>
    <mergeCell ref="V264:W264"/>
    <mergeCell ref="A263:B263"/>
    <mergeCell ref="E263:F263"/>
    <mergeCell ref="G263:H263"/>
    <mergeCell ref="T263:U263"/>
    <mergeCell ref="V261:W261"/>
    <mergeCell ref="A262:B262"/>
    <mergeCell ref="E262:F262"/>
    <mergeCell ref="G262:H262"/>
    <mergeCell ref="T262:U262"/>
    <mergeCell ref="V262:W262"/>
    <mergeCell ref="A261:B261"/>
    <mergeCell ref="E261:F261"/>
    <mergeCell ref="G261:H261"/>
    <mergeCell ref="T261:U261"/>
    <mergeCell ref="V259:W259"/>
    <mergeCell ref="A260:B260"/>
    <mergeCell ref="E260:F260"/>
    <mergeCell ref="G260:H260"/>
    <mergeCell ref="T260:U260"/>
    <mergeCell ref="V260:W260"/>
    <mergeCell ref="A259:B259"/>
    <mergeCell ref="E259:F259"/>
    <mergeCell ref="G259:H259"/>
    <mergeCell ref="T259:U259"/>
    <mergeCell ref="V257:W257"/>
    <mergeCell ref="A258:B258"/>
    <mergeCell ref="E258:F258"/>
    <mergeCell ref="G258:H258"/>
    <mergeCell ref="T258:U258"/>
    <mergeCell ref="V258:W258"/>
    <mergeCell ref="A257:B257"/>
    <mergeCell ref="E257:F257"/>
    <mergeCell ref="G257:H257"/>
    <mergeCell ref="T257:U257"/>
    <mergeCell ref="V255:W255"/>
    <mergeCell ref="A256:B256"/>
    <mergeCell ref="E256:F256"/>
    <mergeCell ref="G256:H256"/>
    <mergeCell ref="T256:U256"/>
    <mergeCell ref="V256:W256"/>
    <mergeCell ref="A255:B255"/>
    <mergeCell ref="E255:F255"/>
    <mergeCell ref="G255:H255"/>
    <mergeCell ref="T255:U255"/>
    <mergeCell ref="V253:W253"/>
    <mergeCell ref="A254:B254"/>
    <mergeCell ref="E254:F254"/>
    <mergeCell ref="G254:H254"/>
    <mergeCell ref="T254:U254"/>
    <mergeCell ref="V254:W254"/>
    <mergeCell ref="A253:B253"/>
    <mergeCell ref="E253:F253"/>
    <mergeCell ref="G253:H253"/>
    <mergeCell ref="T253:U253"/>
    <mergeCell ref="V251:W251"/>
    <mergeCell ref="A252:B252"/>
    <mergeCell ref="E252:F252"/>
    <mergeCell ref="G252:H252"/>
    <mergeCell ref="T252:U252"/>
    <mergeCell ref="V252:W252"/>
    <mergeCell ref="A251:B251"/>
    <mergeCell ref="E251:F251"/>
    <mergeCell ref="G251:H251"/>
    <mergeCell ref="T251:U251"/>
    <mergeCell ref="V249:W249"/>
    <mergeCell ref="A250:B250"/>
    <mergeCell ref="E250:F250"/>
    <mergeCell ref="G250:H250"/>
    <mergeCell ref="T250:U250"/>
    <mergeCell ref="V250:W250"/>
    <mergeCell ref="A249:B249"/>
    <mergeCell ref="E249:F249"/>
    <mergeCell ref="G249:H249"/>
    <mergeCell ref="T249:U249"/>
    <mergeCell ref="V247:W247"/>
    <mergeCell ref="A248:B248"/>
    <mergeCell ref="E248:F248"/>
    <mergeCell ref="G248:H248"/>
    <mergeCell ref="T248:U248"/>
    <mergeCell ref="V248:W248"/>
    <mergeCell ref="A247:B247"/>
    <mergeCell ref="E247:F247"/>
    <mergeCell ref="G247:H247"/>
    <mergeCell ref="T247:U247"/>
    <mergeCell ref="V245:W245"/>
    <mergeCell ref="A246:B246"/>
    <mergeCell ref="E246:F246"/>
    <mergeCell ref="G246:H246"/>
    <mergeCell ref="T246:U246"/>
    <mergeCell ref="V246:W246"/>
    <mergeCell ref="A245:B245"/>
    <mergeCell ref="E245:F245"/>
    <mergeCell ref="G245:H245"/>
    <mergeCell ref="T245:U245"/>
    <mergeCell ref="V244:W244"/>
    <mergeCell ref="V243:W243"/>
    <mergeCell ref="A243:B243"/>
    <mergeCell ref="E243:F243"/>
    <mergeCell ref="G243:H243"/>
    <mergeCell ref="T243:U243"/>
    <mergeCell ref="A244:B244"/>
    <mergeCell ref="E244:F244"/>
    <mergeCell ref="G244:H244"/>
    <mergeCell ref="T244:U244"/>
    <mergeCell ref="V241:W241"/>
    <mergeCell ref="A242:B242"/>
    <mergeCell ref="E242:F242"/>
    <mergeCell ref="G242:H242"/>
    <mergeCell ref="T242:U242"/>
    <mergeCell ref="V242:W242"/>
    <mergeCell ref="A241:B241"/>
    <mergeCell ref="E241:F241"/>
    <mergeCell ref="G241:H241"/>
    <mergeCell ref="T241:U241"/>
    <mergeCell ref="V239:W239"/>
    <mergeCell ref="A240:B240"/>
    <mergeCell ref="E240:F240"/>
    <mergeCell ref="G240:H240"/>
    <mergeCell ref="T240:U240"/>
    <mergeCell ref="V240:W240"/>
    <mergeCell ref="A239:B239"/>
    <mergeCell ref="E239:F239"/>
    <mergeCell ref="G239:H239"/>
    <mergeCell ref="T239:U239"/>
    <mergeCell ref="V237:W237"/>
    <mergeCell ref="A238:B238"/>
    <mergeCell ref="E238:F238"/>
    <mergeCell ref="G238:H238"/>
    <mergeCell ref="T238:U238"/>
    <mergeCell ref="V238:W238"/>
    <mergeCell ref="A237:B237"/>
    <mergeCell ref="E237:F237"/>
    <mergeCell ref="G237:H237"/>
    <mergeCell ref="T237:U237"/>
    <mergeCell ref="V235:W235"/>
    <mergeCell ref="A236:B236"/>
    <mergeCell ref="E236:F236"/>
    <mergeCell ref="G236:H236"/>
    <mergeCell ref="T236:U236"/>
    <mergeCell ref="V236:W236"/>
    <mergeCell ref="A235:B235"/>
    <mergeCell ref="E235:F235"/>
    <mergeCell ref="G235:H235"/>
    <mergeCell ref="T235:U235"/>
    <mergeCell ref="V233:W233"/>
    <mergeCell ref="A234:B234"/>
    <mergeCell ref="E234:F234"/>
    <mergeCell ref="G234:H234"/>
    <mergeCell ref="T234:U234"/>
    <mergeCell ref="V234:W234"/>
    <mergeCell ref="A233:B233"/>
    <mergeCell ref="E233:F233"/>
    <mergeCell ref="G233:H233"/>
    <mergeCell ref="T233:U233"/>
    <mergeCell ref="V231:W231"/>
    <mergeCell ref="A232:B232"/>
    <mergeCell ref="E232:F232"/>
    <mergeCell ref="G232:H232"/>
    <mergeCell ref="T232:U232"/>
    <mergeCell ref="V232:W232"/>
    <mergeCell ref="A231:B231"/>
    <mergeCell ref="E231:F231"/>
    <mergeCell ref="G231:H231"/>
    <mergeCell ref="T231:U231"/>
    <mergeCell ref="V229:W229"/>
    <mergeCell ref="A230:B230"/>
    <mergeCell ref="E230:F230"/>
    <mergeCell ref="G230:H230"/>
    <mergeCell ref="T230:U230"/>
    <mergeCell ref="V230:W230"/>
    <mergeCell ref="A229:B229"/>
    <mergeCell ref="E229:F229"/>
    <mergeCell ref="G229:H229"/>
    <mergeCell ref="T229:U229"/>
    <mergeCell ref="V227:W227"/>
    <mergeCell ref="A228:B228"/>
    <mergeCell ref="E228:F228"/>
    <mergeCell ref="G228:H228"/>
    <mergeCell ref="T228:U228"/>
    <mergeCell ref="V228:W228"/>
    <mergeCell ref="A227:B227"/>
    <mergeCell ref="E227:F227"/>
    <mergeCell ref="G227:H227"/>
    <mergeCell ref="T227:U227"/>
    <mergeCell ref="V225:W225"/>
    <mergeCell ref="A226:B226"/>
    <mergeCell ref="E226:F226"/>
    <mergeCell ref="G226:H226"/>
    <mergeCell ref="T226:U226"/>
    <mergeCell ref="V226:W226"/>
    <mergeCell ref="A225:B225"/>
    <mergeCell ref="E225:F225"/>
    <mergeCell ref="G225:H225"/>
    <mergeCell ref="T225:U225"/>
    <mergeCell ref="V223:W223"/>
    <mergeCell ref="A224:B224"/>
    <mergeCell ref="E224:F224"/>
    <mergeCell ref="G224:H224"/>
    <mergeCell ref="T224:U224"/>
    <mergeCell ref="V224:W224"/>
    <mergeCell ref="A223:B223"/>
    <mergeCell ref="E223:F223"/>
    <mergeCell ref="G223:H223"/>
    <mergeCell ref="T223:U223"/>
    <mergeCell ref="V221:W221"/>
    <mergeCell ref="A222:B222"/>
    <mergeCell ref="E222:F222"/>
    <mergeCell ref="G222:H222"/>
    <mergeCell ref="T222:U222"/>
    <mergeCell ref="V222:W222"/>
    <mergeCell ref="A221:B221"/>
    <mergeCell ref="E221:F221"/>
    <mergeCell ref="G221:H221"/>
    <mergeCell ref="T221:U221"/>
    <mergeCell ref="V219:W219"/>
    <mergeCell ref="A220:B220"/>
    <mergeCell ref="E220:F220"/>
    <mergeCell ref="G220:H220"/>
    <mergeCell ref="T220:U220"/>
    <mergeCell ref="V220:W220"/>
    <mergeCell ref="A219:B219"/>
    <mergeCell ref="E219:F219"/>
    <mergeCell ref="G219:H219"/>
    <mergeCell ref="T219:U219"/>
    <mergeCell ref="V217:W217"/>
    <mergeCell ref="A218:B218"/>
    <mergeCell ref="E218:F218"/>
    <mergeCell ref="G218:H218"/>
    <mergeCell ref="T218:U218"/>
    <mergeCell ref="V218:W218"/>
    <mergeCell ref="A217:B217"/>
    <mergeCell ref="E217:F217"/>
    <mergeCell ref="G217:H217"/>
    <mergeCell ref="T217:U217"/>
    <mergeCell ref="V215:W215"/>
    <mergeCell ref="A216:B216"/>
    <mergeCell ref="E216:F216"/>
    <mergeCell ref="G216:H216"/>
    <mergeCell ref="T216:U216"/>
    <mergeCell ref="V216:W216"/>
    <mergeCell ref="A215:B215"/>
    <mergeCell ref="E215:F215"/>
    <mergeCell ref="G215:H215"/>
    <mergeCell ref="T215:U215"/>
    <mergeCell ref="V213:W213"/>
    <mergeCell ref="A214:B214"/>
    <mergeCell ref="E214:F214"/>
    <mergeCell ref="G214:H214"/>
    <mergeCell ref="T214:U214"/>
    <mergeCell ref="V214:W214"/>
    <mergeCell ref="A213:B213"/>
    <mergeCell ref="E213:F213"/>
    <mergeCell ref="G213:H213"/>
    <mergeCell ref="T213:U213"/>
    <mergeCell ref="V211:W211"/>
    <mergeCell ref="A212:B212"/>
    <mergeCell ref="E212:F212"/>
    <mergeCell ref="G212:H212"/>
    <mergeCell ref="T212:U212"/>
    <mergeCell ref="V212:W212"/>
    <mergeCell ref="A211:B211"/>
    <mergeCell ref="E211:F211"/>
    <mergeCell ref="G211:H211"/>
    <mergeCell ref="T211:U211"/>
    <mergeCell ref="V210:W210"/>
    <mergeCell ref="V209:W209"/>
    <mergeCell ref="A209:B209"/>
    <mergeCell ref="E209:F209"/>
    <mergeCell ref="G209:H209"/>
    <mergeCell ref="T209:U209"/>
    <mergeCell ref="A210:B210"/>
    <mergeCell ref="E210:F210"/>
    <mergeCell ref="G210:H210"/>
    <mergeCell ref="T210:U210"/>
    <mergeCell ref="V207:W207"/>
    <mergeCell ref="A208:B208"/>
    <mergeCell ref="E208:F208"/>
    <mergeCell ref="G208:H208"/>
    <mergeCell ref="T208:U208"/>
    <mergeCell ref="V208:W208"/>
    <mergeCell ref="A207:B207"/>
    <mergeCell ref="E207:F207"/>
    <mergeCell ref="G207:H207"/>
    <mergeCell ref="T207:U207"/>
    <mergeCell ref="V205:W205"/>
    <mergeCell ref="A206:B206"/>
    <mergeCell ref="E206:F206"/>
    <mergeCell ref="G206:H206"/>
    <mergeCell ref="T206:U206"/>
    <mergeCell ref="V206:W206"/>
    <mergeCell ref="A205:B205"/>
    <mergeCell ref="E205:F205"/>
    <mergeCell ref="G205:H205"/>
    <mergeCell ref="T205:U205"/>
    <mergeCell ref="V203:W203"/>
    <mergeCell ref="A204:B204"/>
    <mergeCell ref="E204:F204"/>
    <mergeCell ref="G204:H204"/>
    <mergeCell ref="T204:U204"/>
    <mergeCell ref="V204:W204"/>
    <mergeCell ref="A203:B203"/>
    <mergeCell ref="E203:F203"/>
    <mergeCell ref="G203:H203"/>
    <mergeCell ref="T203:U203"/>
    <mergeCell ref="V201:W201"/>
    <mergeCell ref="A202:B202"/>
    <mergeCell ref="E202:F202"/>
    <mergeCell ref="G202:H202"/>
    <mergeCell ref="T202:U202"/>
    <mergeCell ref="V202:W202"/>
    <mergeCell ref="A201:B201"/>
    <mergeCell ref="E201:F201"/>
    <mergeCell ref="G201:H201"/>
    <mergeCell ref="T201:U201"/>
    <mergeCell ref="V199:W199"/>
    <mergeCell ref="A200:B200"/>
    <mergeCell ref="E200:F200"/>
    <mergeCell ref="G200:H200"/>
    <mergeCell ref="T200:U200"/>
    <mergeCell ref="V200:W200"/>
    <mergeCell ref="A199:B199"/>
    <mergeCell ref="E199:F199"/>
    <mergeCell ref="G199:H199"/>
    <mergeCell ref="T199:U199"/>
    <mergeCell ref="V197:W197"/>
    <mergeCell ref="A198:B198"/>
    <mergeCell ref="E198:F198"/>
    <mergeCell ref="G198:H198"/>
    <mergeCell ref="T198:U198"/>
    <mergeCell ref="V198:W198"/>
    <mergeCell ref="A197:B197"/>
    <mergeCell ref="E197:F197"/>
    <mergeCell ref="G197:H197"/>
    <mergeCell ref="T197:U197"/>
    <mergeCell ref="V195:W195"/>
    <mergeCell ref="A196:B196"/>
    <mergeCell ref="E196:F196"/>
    <mergeCell ref="G196:H196"/>
    <mergeCell ref="T196:U196"/>
    <mergeCell ref="V196:W196"/>
    <mergeCell ref="A195:B195"/>
    <mergeCell ref="E195:F195"/>
    <mergeCell ref="G195:H195"/>
    <mergeCell ref="T195:U195"/>
    <mergeCell ref="V193:W193"/>
    <mergeCell ref="A194:B194"/>
    <mergeCell ref="E194:F194"/>
    <mergeCell ref="G194:H194"/>
    <mergeCell ref="T194:U194"/>
    <mergeCell ref="V194:W194"/>
    <mergeCell ref="A193:B193"/>
    <mergeCell ref="E193:F193"/>
    <mergeCell ref="G193:H193"/>
    <mergeCell ref="T193:U193"/>
    <mergeCell ref="V191:W191"/>
    <mergeCell ref="A192:B192"/>
    <mergeCell ref="E192:F192"/>
    <mergeCell ref="G192:H192"/>
    <mergeCell ref="T192:U192"/>
    <mergeCell ref="V192:W192"/>
    <mergeCell ref="A191:B191"/>
    <mergeCell ref="E191:F191"/>
    <mergeCell ref="G191:H191"/>
    <mergeCell ref="T191:U191"/>
    <mergeCell ref="V189:W189"/>
    <mergeCell ref="A190:B190"/>
    <mergeCell ref="E190:F190"/>
    <mergeCell ref="G190:H190"/>
    <mergeCell ref="T190:U190"/>
    <mergeCell ref="V190:W190"/>
    <mergeCell ref="A189:B189"/>
    <mergeCell ref="E189:F189"/>
    <mergeCell ref="G189:H189"/>
    <mergeCell ref="T189:U189"/>
    <mergeCell ref="V187:W187"/>
    <mergeCell ref="A188:B188"/>
    <mergeCell ref="E188:F188"/>
    <mergeCell ref="G188:H188"/>
    <mergeCell ref="T188:U188"/>
    <mergeCell ref="V188:W188"/>
    <mergeCell ref="A187:B187"/>
    <mergeCell ref="E187:F187"/>
    <mergeCell ref="G187:H187"/>
    <mergeCell ref="T187:U187"/>
    <mergeCell ref="V185:W185"/>
    <mergeCell ref="A186:B186"/>
    <mergeCell ref="E186:F186"/>
    <mergeCell ref="G186:H186"/>
    <mergeCell ref="T186:U186"/>
    <mergeCell ref="V186:W186"/>
    <mergeCell ref="A185:B185"/>
    <mergeCell ref="E185:F185"/>
    <mergeCell ref="G185:H185"/>
    <mergeCell ref="T185:U185"/>
    <mergeCell ref="V183:W183"/>
    <mergeCell ref="A184:B184"/>
    <mergeCell ref="E184:F184"/>
    <mergeCell ref="G184:H184"/>
    <mergeCell ref="T184:U184"/>
    <mergeCell ref="V184:W184"/>
    <mergeCell ref="A183:B183"/>
    <mergeCell ref="E183:F183"/>
    <mergeCell ref="G183:H183"/>
    <mergeCell ref="T183:U183"/>
    <mergeCell ref="V181:W181"/>
    <mergeCell ref="A182:B182"/>
    <mergeCell ref="E182:F182"/>
    <mergeCell ref="G182:H182"/>
    <mergeCell ref="T182:U182"/>
    <mergeCell ref="V182:W182"/>
    <mergeCell ref="A181:B181"/>
    <mergeCell ref="E181:F181"/>
    <mergeCell ref="G181:H181"/>
    <mergeCell ref="T181:U181"/>
    <mergeCell ref="V179:W179"/>
    <mergeCell ref="A180:B180"/>
    <mergeCell ref="E180:F180"/>
    <mergeCell ref="G180:H180"/>
    <mergeCell ref="T180:U180"/>
    <mergeCell ref="V180:W180"/>
    <mergeCell ref="A179:B179"/>
    <mergeCell ref="E179:F179"/>
    <mergeCell ref="G179:H179"/>
    <mergeCell ref="T179:U179"/>
    <mergeCell ref="V177:W177"/>
    <mergeCell ref="A178:B178"/>
    <mergeCell ref="E178:F178"/>
    <mergeCell ref="G178:H178"/>
    <mergeCell ref="T178:U178"/>
    <mergeCell ref="V178:W178"/>
    <mergeCell ref="A177:B177"/>
    <mergeCell ref="E177:F177"/>
    <mergeCell ref="G177:H177"/>
    <mergeCell ref="T177:U177"/>
    <mergeCell ref="V176:W176"/>
    <mergeCell ref="V175:W175"/>
    <mergeCell ref="A175:B175"/>
    <mergeCell ref="E175:F175"/>
    <mergeCell ref="G175:H175"/>
    <mergeCell ref="T175:U175"/>
    <mergeCell ref="A176:B176"/>
    <mergeCell ref="E176:F176"/>
    <mergeCell ref="G176:H176"/>
    <mergeCell ref="T176:U176"/>
    <mergeCell ref="V173:W173"/>
    <mergeCell ref="A174:B174"/>
    <mergeCell ref="E174:F174"/>
    <mergeCell ref="G174:H174"/>
    <mergeCell ref="T174:U174"/>
    <mergeCell ref="V174:W174"/>
    <mergeCell ref="A173:B173"/>
    <mergeCell ref="E173:F173"/>
    <mergeCell ref="G173:H173"/>
    <mergeCell ref="T173:U173"/>
    <mergeCell ref="V171:W171"/>
    <mergeCell ref="A172:B172"/>
    <mergeCell ref="E172:F172"/>
    <mergeCell ref="G172:H172"/>
    <mergeCell ref="T172:U172"/>
    <mergeCell ref="V172:W172"/>
    <mergeCell ref="A171:B171"/>
    <mergeCell ref="E171:F171"/>
    <mergeCell ref="G171:H171"/>
    <mergeCell ref="T171:U171"/>
    <mergeCell ref="V169:W169"/>
    <mergeCell ref="A170:B170"/>
    <mergeCell ref="E170:F170"/>
    <mergeCell ref="G170:H170"/>
    <mergeCell ref="T170:U170"/>
    <mergeCell ref="V170:W170"/>
    <mergeCell ref="A169:B169"/>
    <mergeCell ref="E169:F169"/>
    <mergeCell ref="G169:H169"/>
    <mergeCell ref="T169:U169"/>
    <mergeCell ref="V167:W167"/>
    <mergeCell ref="A168:B168"/>
    <mergeCell ref="E168:F168"/>
    <mergeCell ref="G168:H168"/>
    <mergeCell ref="T168:U168"/>
    <mergeCell ref="V168:W168"/>
    <mergeCell ref="A167:B167"/>
    <mergeCell ref="E167:F167"/>
    <mergeCell ref="G167:H167"/>
    <mergeCell ref="T167:U167"/>
    <mergeCell ref="V165:W165"/>
    <mergeCell ref="A166:B166"/>
    <mergeCell ref="E166:F166"/>
    <mergeCell ref="G166:H166"/>
    <mergeCell ref="T166:U166"/>
    <mergeCell ref="V166:W166"/>
    <mergeCell ref="A165:B165"/>
    <mergeCell ref="E165:F165"/>
    <mergeCell ref="G165:H165"/>
    <mergeCell ref="T165:U165"/>
    <mergeCell ref="V163:W163"/>
    <mergeCell ref="A164:B164"/>
    <mergeCell ref="E164:F164"/>
    <mergeCell ref="G164:H164"/>
    <mergeCell ref="T164:U164"/>
    <mergeCell ref="V164:W164"/>
    <mergeCell ref="A163:B163"/>
    <mergeCell ref="E163:F163"/>
    <mergeCell ref="G163:H163"/>
    <mergeCell ref="T163:U163"/>
    <mergeCell ref="V161:W161"/>
    <mergeCell ref="A162:B162"/>
    <mergeCell ref="E162:F162"/>
    <mergeCell ref="G162:H162"/>
    <mergeCell ref="T162:U162"/>
    <mergeCell ref="V162:W162"/>
    <mergeCell ref="A161:B161"/>
    <mergeCell ref="E161:F161"/>
    <mergeCell ref="G161:H161"/>
    <mergeCell ref="T161:U161"/>
    <mergeCell ref="V159:W159"/>
    <mergeCell ref="A160:B160"/>
    <mergeCell ref="E160:F160"/>
    <mergeCell ref="G160:H160"/>
    <mergeCell ref="T160:U160"/>
    <mergeCell ref="V160:W160"/>
    <mergeCell ref="A159:B159"/>
    <mergeCell ref="E159:F159"/>
    <mergeCell ref="G159:H159"/>
    <mergeCell ref="T159:U159"/>
    <mergeCell ref="V157:W157"/>
    <mergeCell ref="A158:B158"/>
    <mergeCell ref="E158:F158"/>
    <mergeCell ref="G158:H158"/>
    <mergeCell ref="T158:U158"/>
    <mergeCell ref="V158:W158"/>
    <mergeCell ref="A157:B157"/>
    <mergeCell ref="E157:F157"/>
    <mergeCell ref="G157:H157"/>
    <mergeCell ref="T157:U157"/>
    <mergeCell ref="V155:W155"/>
    <mergeCell ref="A156:B156"/>
    <mergeCell ref="E156:F156"/>
    <mergeCell ref="G156:H156"/>
    <mergeCell ref="T156:U156"/>
    <mergeCell ref="V156:W156"/>
    <mergeCell ref="A155:B155"/>
    <mergeCell ref="E155:F155"/>
    <mergeCell ref="G155:H155"/>
    <mergeCell ref="T155:U155"/>
    <mergeCell ref="V153:W153"/>
    <mergeCell ref="A154:B154"/>
    <mergeCell ref="E154:F154"/>
    <mergeCell ref="G154:H154"/>
    <mergeCell ref="T154:U154"/>
    <mergeCell ref="V154:W154"/>
    <mergeCell ref="A153:B153"/>
    <mergeCell ref="E153:F153"/>
    <mergeCell ref="G153:H153"/>
    <mergeCell ref="T153:U153"/>
    <mergeCell ref="V151:W151"/>
    <mergeCell ref="A152:B152"/>
    <mergeCell ref="E152:F152"/>
    <mergeCell ref="G152:H152"/>
    <mergeCell ref="T152:U152"/>
    <mergeCell ref="V152:W152"/>
    <mergeCell ref="A151:B151"/>
    <mergeCell ref="E151:F151"/>
    <mergeCell ref="G151:H151"/>
    <mergeCell ref="T151:U151"/>
    <mergeCell ref="V149:W149"/>
    <mergeCell ref="A150:B150"/>
    <mergeCell ref="E150:F150"/>
    <mergeCell ref="G150:H150"/>
    <mergeCell ref="T150:U150"/>
    <mergeCell ref="V150:W150"/>
    <mergeCell ref="A149:B149"/>
    <mergeCell ref="E149:F149"/>
    <mergeCell ref="G149:H149"/>
    <mergeCell ref="T149:U149"/>
    <mergeCell ref="V147:W147"/>
    <mergeCell ref="A148:B148"/>
    <mergeCell ref="E148:F148"/>
    <mergeCell ref="G148:H148"/>
    <mergeCell ref="T148:U148"/>
    <mergeCell ref="V148:W148"/>
    <mergeCell ref="A147:B147"/>
    <mergeCell ref="E147:F147"/>
    <mergeCell ref="G147:H147"/>
    <mergeCell ref="T147:U147"/>
    <mergeCell ref="V145:W145"/>
    <mergeCell ref="A146:B146"/>
    <mergeCell ref="E146:F146"/>
    <mergeCell ref="G146:H146"/>
    <mergeCell ref="T146:U146"/>
    <mergeCell ref="V146:W146"/>
    <mergeCell ref="A145:B145"/>
    <mergeCell ref="E145:F145"/>
    <mergeCell ref="G145:H145"/>
    <mergeCell ref="T145:U145"/>
    <mergeCell ref="V143:W143"/>
    <mergeCell ref="A144:B144"/>
    <mergeCell ref="E144:F144"/>
    <mergeCell ref="G144:H144"/>
    <mergeCell ref="T144:U144"/>
    <mergeCell ref="V144:W144"/>
    <mergeCell ref="A143:B143"/>
    <mergeCell ref="E143:F143"/>
    <mergeCell ref="G143:H143"/>
    <mergeCell ref="T143:U143"/>
    <mergeCell ref="A142:B142"/>
    <mergeCell ref="E142:F142"/>
    <mergeCell ref="G142:H142"/>
    <mergeCell ref="T142:U142"/>
    <mergeCell ref="V142:W142"/>
    <mergeCell ref="V140:W140"/>
    <mergeCell ref="A141:B141"/>
    <mergeCell ref="E141:F141"/>
    <mergeCell ref="G141:H141"/>
    <mergeCell ref="T141:U141"/>
    <mergeCell ref="V141:W141"/>
    <mergeCell ref="A140:B140"/>
    <mergeCell ref="E140:F140"/>
    <mergeCell ref="G140:H140"/>
    <mergeCell ref="T140:U140"/>
    <mergeCell ref="V138:W138"/>
    <mergeCell ref="A139:B139"/>
    <mergeCell ref="E139:F139"/>
    <mergeCell ref="G139:H139"/>
    <mergeCell ref="T139:U139"/>
    <mergeCell ref="V139:W139"/>
    <mergeCell ref="A138:B138"/>
    <mergeCell ref="E138:F138"/>
    <mergeCell ref="G138:H138"/>
    <mergeCell ref="T138:U138"/>
    <mergeCell ref="V136:W136"/>
    <mergeCell ref="A137:B137"/>
    <mergeCell ref="E137:F137"/>
    <mergeCell ref="G137:H137"/>
    <mergeCell ref="T137:U137"/>
    <mergeCell ref="V137:W137"/>
    <mergeCell ref="A136:B136"/>
    <mergeCell ref="E136:F136"/>
    <mergeCell ref="G136:H136"/>
    <mergeCell ref="T136:U136"/>
    <mergeCell ref="V134:W134"/>
    <mergeCell ref="A135:B135"/>
    <mergeCell ref="E135:F135"/>
    <mergeCell ref="G135:H135"/>
    <mergeCell ref="T135:U135"/>
    <mergeCell ref="V135:W135"/>
    <mergeCell ref="A134:B134"/>
    <mergeCell ref="E134:F134"/>
    <mergeCell ref="G134:H134"/>
    <mergeCell ref="T134:U134"/>
    <mergeCell ref="V132:W132"/>
    <mergeCell ref="A133:B133"/>
    <mergeCell ref="E133:F133"/>
    <mergeCell ref="G133:H133"/>
    <mergeCell ref="T133:U133"/>
    <mergeCell ref="V133:W133"/>
    <mergeCell ref="A132:B132"/>
    <mergeCell ref="E132:F132"/>
    <mergeCell ref="G132:H132"/>
    <mergeCell ref="T132:U132"/>
    <mergeCell ref="V130:W130"/>
    <mergeCell ref="A131:B131"/>
    <mergeCell ref="E131:F131"/>
    <mergeCell ref="G131:H131"/>
    <mergeCell ref="T131:U131"/>
    <mergeCell ref="V131:W131"/>
    <mergeCell ref="A130:B130"/>
    <mergeCell ref="E130:F130"/>
    <mergeCell ref="G130:H130"/>
    <mergeCell ref="T130:U130"/>
    <mergeCell ref="V128:W128"/>
    <mergeCell ref="A129:B129"/>
    <mergeCell ref="E129:F129"/>
    <mergeCell ref="G129:H129"/>
    <mergeCell ref="T129:U129"/>
    <mergeCell ref="V129:W129"/>
    <mergeCell ref="A128:B128"/>
    <mergeCell ref="E128:F128"/>
    <mergeCell ref="G128:H128"/>
    <mergeCell ref="T128:U128"/>
    <mergeCell ref="V126:W126"/>
    <mergeCell ref="A127:B127"/>
    <mergeCell ref="E127:F127"/>
    <mergeCell ref="G127:H127"/>
    <mergeCell ref="T127:U127"/>
    <mergeCell ref="V127:W127"/>
    <mergeCell ref="A126:B126"/>
    <mergeCell ref="E126:F126"/>
    <mergeCell ref="G126:H126"/>
    <mergeCell ref="T126:U126"/>
    <mergeCell ref="V124:W124"/>
    <mergeCell ref="A125:B125"/>
    <mergeCell ref="E125:F125"/>
    <mergeCell ref="G125:H125"/>
    <mergeCell ref="T125:U125"/>
    <mergeCell ref="V125:W125"/>
    <mergeCell ref="A124:B124"/>
    <mergeCell ref="E124:F124"/>
    <mergeCell ref="G124:H124"/>
    <mergeCell ref="T124:U124"/>
    <mergeCell ref="V122:W122"/>
    <mergeCell ref="A123:B123"/>
    <mergeCell ref="E123:F123"/>
    <mergeCell ref="G123:H123"/>
    <mergeCell ref="T123:U123"/>
    <mergeCell ref="V123:W123"/>
    <mergeCell ref="A122:B122"/>
    <mergeCell ref="E122:F122"/>
    <mergeCell ref="G122:H122"/>
    <mergeCell ref="T122:U122"/>
    <mergeCell ref="V120:W120"/>
    <mergeCell ref="A121:B121"/>
    <mergeCell ref="E121:F121"/>
    <mergeCell ref="G121:H121"/>
    <mergeCell ref="T121:U121"/>
    <mergeCell ref="V121:W121"/>
    <mergeCell ref="A120:B120"/>
    <mergeCell ref="E120:F120"/>
    <mergeCell ref="G120:H120"/>
    <mergeCell ref="T120:U120"/>
    <mergeCell ref="V118:W118"/>
    <mergeCell ref="A119:B119"/>
    <mergeCell ref="E119:F119"/>
    <mergeCell ref="G119:H119"/>
    <mergeCell ref="T119:U119"/>
    <mergeCell ref="V119:W119"/>
    <mergeCell ref="A118:B118"/>
    <mergeCell ref="E118:F118"/>
    <mergeCell ref="G118:H118"/>
    <mergeCell ref="T118:U118"/>
    <mergeCell ref="V116:W116"/>
    <mergeCell ref="A117:B117"/>
    <mergeCell ref="E117:F117"/>
    <mergeCell ref="G117:H117"/>
    <mergeCell ref="T117:U117"/>
    <mergeCell ref="V117:W117"/>
    <mergeCell ref="A116:B116"/>
    <mergeCell ref="E116:F116"/>
    <mergeCell ref="G116:H116"/>
    <mergeCell ref="T116:U116"/>
    <mergeCell ref="V114:W114"/>
    <mergeCell ref="A115:B115"/>
    <mergeCell ref="E115:F115"/>
    <mergeCell ref="G115:H115"/>
    <mergeCell ref="T115:U115"/>
    <mergeCell ref="V115:W115"/>
    <mergeCell ref="A114:B114"/>
    <mergeCell ref="E114:F114"/>
    <mergeCell ref="G114:H114"/>
    <mergeCell ref="T114:U114"/>
    <mergeCell ref="V112:W112"/>
    <mergeCell ref="A113:B113"/>
    <mergeCell ref="E113:F113"/>
    <mergeCell ref="G113:H113"/>
    <mergeCell ref="T113:U113"/>
    <mergeCell ref="V113:W113"/>
    <mergeCell ref="A112:B112"/>
    <mergeCell ref="E112:F112"/>
    <mergeCell ref="G112:H112"/>
    <mergeCell ref="T112:U112"/>
    <mergeCell ref="V110:W110"/>
    <mergeCell ref="A111:B111"/>
    <mergeCell ref="E111:F111"/>
    <mergeCell ref="G111:H111"/>
    <mergeCell ref="T111:U111"/>
    <mergeCell ref="V111:W111"/>
    <mergeCell ref="A110:B110"/>
    <mergeCell ref="E110:F110"/>
    <mergeCell ref="G110:H110"/>
    <mergeCell ref="T110:U110"/>
    <mergeCell ref="A109:B109"/>
    <mergeCell ref="E109:F109"/>
    <mergeCell ref="G109:H109"/>
    <mergeCell ref="T109:U109"/>
    <mergeCell ref="V109:W109"/>
    <mergeCell ref="V107:W107"/>
    <mergeCell ref="A108:B108"/>
    <mergeCell ref="E108:F108"/>
    <mergeCell ref="G108:H108"/>
    <mergeCell ref="T108:U108"/>
    <mergeCell ref="V108:W108"/>
    <mergeCell ref="A107:B107"/>
    <mergeCell ref="E107:F107"/>
    <mergeCell ref="G107:H107"/>
    <mergeCell ref="T107:U107"/>
    <mergeCell ref="V105:W105"/>
    <mergeCell ref="A106:B106"/>
    <mergeCell ref="E106:F106"/>
    <mergeCell ref="G106:H106"/>
    <mergeCell ref="T106:U106"/>
    <mergeCell ref="V106:W106"/>
    <mergeCell ref="A105:B105"/>
    <mergeCell ref="E105:F105"/>
    <mergeCell ref="G105:H105"/>
    <mergeCell ref="T105:U105"/>
    <mergeCell ref="V103:W103"/>
    <mergeCell ref="A104:B104"/>
    <mergeCell ref="E104:F104"/>
    <mergeCell ref="G104:H104"/>
    <mergeCell ref="T104:U104"/>
    <mergeCell ref="V104:W104"/>
    <mergeCell ref="A103:B103"/>
    <mergeCell ref="E103:F103"/>
    <mergeCell ref="G103:H103"/>
    <mergeCell ref="T103:U103"/>
    <mergeCell ref="V101:W101"/>
    <mergeCell ref="A102:B102"/>
    <mergeCell ref="E102:F102"/>
    <mergeCell ref="G102:H102"/>
    <mergeCell ref="T102:U102"/>
    <mergeCell ref="V102:W102"/>
    <mergeCell ref="A101:B101"/>
    <mergeCell ref="E101:F101"/>
    <mergeCell ref="G101:H101"/>
    <mergeCell ref="T101:U101"/>
    <mergeCell ref="V99:W99"/>
    <mergeCell ref="A100:B100"/>
    <mergeCell ref="E100:F100"/>
    <mergeCell ref="G100:H100"/>
    <mergeCell ref="T100:U100"/>
    <mergeCell ref="V100:W100"/>
    <mergeCell ref="A99:B99"/>
    <mergeCell ref="E99:F99"/>
    <mergeCell ref="G99:H99"/>
    <mergeCell ref="T99:U99"/>
    <mergeCell ref="V97:W97"/>
    <mergeCell ref="A98:B98"/>
    <mergeCell ref="E98:F98"/>
    <mergeCell ref="G98:H98"/>
    <mergeCell ref="T98:U98"/>
    <mergeCell ref="V98:W98"/>
    <mergeCell ref="A97:B97"/>
    <mergeCell ref="E97:F97"/>
    <mergeCell ref="G97:H97"/>
    <mergeCell ref="T97:U97"/>
    <mergeCell ref="V94:W94"/>
    <mergeCell ref="A95:B95"/>
    <mergeCell ref="E95:F95"/>
    <mergeCell ref="G95:H95"/>
    <mergeCell ref="T95:U95"/>
    <mergeCell ref="V95:W95"/>
    <mergeCell ref="A94:B94"/>
    <mergeCell ref="E94:F94"/>
    <mergeCell ref="G94:H94"/>
    <mergeCell ref="T94:U94"/>
    <mergeCell ref="V92:W92"/>
    <mergeCell ref="A93:B93"/>
    <mergeCell ref="E93:F93"/>
    <mergeCell ref="G93:H93"/>
    <mergeCell ref="T93:U93"/>
    <mergeCell ref="V93:W93"/>
    <mergeCell ref="A92:B92"/>
    <mergeCell ref="E92:F92"/>
    <mergeCell ref="G92:H92"/>
    <mergeCell ref="T92:U92"/>
    <mergeCell ref="V90:W90"/>
    <mergeCell ref="A91:B91"/>
    <mergeCell ref="E91:F91"/>
    <mergeCell ref="G91:H91"/>
    <mergeCell ref="T91:U91"/>
    <mergeCell ref="V91:W91"/>
    <mergeCell ref="A90:B90"/>
    <mergeCell ref="E90:F90"/>
    <mergeCell ref="G90:H90"/>
    <mergeCell ref="T90:U90"/>
    <mergeCell ref="V88:W88"/>
    <mergeCell ref="A89:B89"/>
    <mergeCell ref="E89:F89"/>
    <mergeCell ref="G89:H89"/>
    <mergeCell ref="T89:U89"/>
    <mergeCell ref="V89:W89"/>
    <mergeCell ref="A88:B88"/>
    <mergeCell ref="E88:F88"/>
    <mergeCell ref="G88:H88"/>
    <mergeCell ref="T88:U88"/>
    <mergeCell ref="V86:W86"/>
    <mergeCell ref="A87:B87"/>
    <mergeCell ref="E87:F87"/>
    <mergeCell ref="G87:H87"/>
    <mergeCell ref="T87:U87"/>
    <mergeCell ref="V87:W87"/>
    <mergeCell ref="A86:B86"/>
    <mergeCell ref="E86:F86"/>
    <mergeCell ref="G86:H86"/>
    <mergeCell ref="T86:U86"/>
    <mergeCell ref="V84:W84"/>
    <mergeCell ref="A85:B85"/>
    <mergeCell ref="E85:F85"/>
    <mergeCell ref="G85:H85"/>
    <mergeCell ref="T85:U85"/>
    <mergeCell ref="V85:W85"/>
    <mergeCell ref="A84:B84"/>
    <mergeCell ref="E84:F84"/>
    <mergeCell ref="G84:H84"/>
    <mergeCell ref="T84:U84"/>
    <mergeCell ref="V82:W82"/>
    <mergeCell ref="A83:B83"/>
    <mergeCell ref="E83:F83"/>
    <mergeCell ref="G83:H83"/>
    <mergeCell ref="T83:U83"/>
    <mergeCell ref="V83:W83"/>
    <mergeCell ref="A82:B82"/>
    <mergeCell ref="E82:F82"/>
    <mergeCell ref="G82:H82"/>
    <mergeCell ref="T82:U82"/>
    <mergeCell ref="V80:W80"/>
    <mergeCell ref="A81:B81"/>
    <mergeCell ref="E81:F81"/>
    <mergeCell ref="G81:H81"/>
    <mergeCell ref="T81:U81"/>
    <mergeCell ref="V81:W81"/>
    <mergeCell ref="A80:B80"/>
    <mergeCell ref="E80:F80"/>
    <mergeCell ref="G80:H80"/>
    <mergeCell ref="T80:U80"/>
    <mergeCell ref="V78:W78"/>
    <mergeCell ref="A79:B79"/>
    <mergeCell ref="E79:F79"/>
    <mergeCell ref="G79:H79"/>
    <mergeCell ref="T79:U79"/>
    <mergeCell ref="V79:W79"/>
    <mergeCell ref="A78:B78"/>
    <mergeCell ref="E78:F78"/>
    <mergeCell ref="G78:H78"/>
    <mergeCell ref="T78:U78"/>
    <mergeCell ref="V76:W76"/>
    <mergeCell ref="A77:B77"/>
    <mergeCell ref="E77:F77"/>
    <mergeCell ref="G77:H77"/>
    <mergeCell ref="T77:U77"/>
    <mergeCell ref="V77:W77"/>
    <mergeCell ref="A76:B76"/>
    <mergeCell ref="E76:F76"/>
    <mergeCell ref="G76:H76"/>
    <mergeCell ref="T76:U76"/>
    <mergeCell ref="A75:B75"/>
    <mergeCell ref="E75:F75"/>
    <mergeCell ref="G75:H75"/>
    <mergeCell ref="T75:U75"/>
    <mergeCell ref="V75:W75"/>
    <mergeCell ref="V74:W74"/>
    <mergeCell ref="A74:B74"/>
    <mergeCell ref="E74:F74"/>
    <mergeCell ref="G74:H74"/>
    <mergeCell ref="T74:U74"/>
    <mergeCell ref="V72:W72"/>
    <mergeCell ref="A73:B73"/>
    <mergeCell ref="E73:F73"/>
    <mergeCell ref="G73:H73"/>
    <mergeCell ref="T73:U73"/>
    <mergeCell ref="V73:W73"/>
    <mergeCell ref="A72:B72"/>
    <mergeCell ref="E72:F72"/>
    <mergeCell ref="G72:H72"/>
    <mergeCell ref="T72:U72"/>
    <mergeCell ref="V70:W70"/>
    <mergeCell ref="A71:B71"/>
    <mergeCell ref="E71:F71"/>
    <mergeCell ref="G71:H71"/>
    <mergeCell ref="T71:U71"/>
    <mergeCell ref="V71:W71"/>
    <mergeCell ref="A70:B70"/>
    <mergeCell ref="E70:F70"/>
    <mergeCell ref="G70:H70"/>
    <mergeCell ref="T70:U70"/>
    <mergeCell ref="V68:W68"/>
    <mergeCell ref="A69:B69"/>
    <mergeCell ref="E69:F69"/>
    <mergeCell ref="G69:H69"/>
    <mergeCell ref="T69:U69"/>
    <mergeCell ref="V69:W69"/>
    <mergeCell ref="A68:B68"/>
    <mergeCell ref="E68:F68"/>
    <mergeCell ref="G68:H68"/>
    <mergeCell ref="T68:U68"/>
    <mergeCell ref="V66:W66"/>
    <mergeCell ref="A67:B67"/>
    <mergeCell ref="E67:F67"/>
    <mergeCell ref="G67:H67"/>
    <mergeCell ref="T67:U67"/>
    <mergeCell ref="V67:W67"/>
    <mergeCell ref="A66:B66"/>
    <mergeCell ref="E66:F66"/>
    <mergeCell ref="G66:H66"/>
    <mergeCell ref="T66:U66"/>
    <mergeCell ref="V64:W64"/>
    <mergeCell ref="A65:B65"/>
    <mergeCell ref="E65:F65"/>
    <mergeCell ref="G65:H65"/>
    <mergeCell ref="T65:U65"/>
    <mergeCell ref="V65:W65"/>
    <mergeCell ref="A64:B64"/>
    <mergeCell ref="E64:F64"/>
    <mergeCell ref="G64:H64"/>
    <mergeCell ref="T64:U64"/>
    <mergeCell ref="V62:W62"/>
    <mergeCell ref="A63:B63"/>
    <mergeCell ref="E63:F63"/>
    <mergeCell ref="G63:H63"/>
    <mergeCell ref="T63:U63"/>
    <mergeCell ref="V63:W63"/>
    <mergeCell ref="A62:B62"/>
    <mergeCell ref="E62:F62"/>
    <mergeCell ref="G62:H62"/>
    <mergeCell ref="T62:U62"/>
    <mergeCell ref="V60:W60"/>
    <mergeCell ref="A61:B61"/>
    <mergeCell ref="E61:F61"/>
    <mergeCell ref="G61:H61"/>
    <mergeCell ref="T61:U61"/>
    <mergeCell ref="V61:W61"/>
    <mergeCell ref="A60:B60"/>
    <mergeCell ref="E60:F60"/>
    <mergeCell ref="G60:H60"/>
    <mergeCell ref="T60:U60"/>
    <mergeCell ref="V58:W58"/>
    <mergeCell ref="A59:B59"/>
    <mergeCell ref="E59:F59"/>
    <mergeCell ref="G59:H59"/>
    <mergeCell ref="T59:U59"/>
    <mergeCell ref="V59:W59"/>
    <mergeCell ref="A58:B58"/>
    <mergeCell ref="E58:F58"/>
    <mergeCell ref="G58:H58"/>
    <mergeCell ref="T58:U58"/>
    <mergeCell ref="V56:W56"/>
    <mergeCell ref="A57:B57"/>
    <mergeCell ref="E57:F57"/>
    <mergeCell ref="G57:H57"/>
    <mergeCell ref="T57:U57"/>
    <mergeCell ref="V57:W57"/>
    <mergeCell ref="A56:B56"/>
    <mergeCell ref="E56:F56"/>
    <mergeCell ref="G56:H56"/>
    <mergeCell ref="T56:U56"/>
    <mergeCell ref="V54:W54"/>
    <mergeCell ref="A55:B55"/>
    <mergeCell ref="E55:F55"/>
    <mergeCell ref="G55:H55"/>
    <mergeCell ref="T55:U55"/>
    <mergeCell ref="V55:W55"/>
    <mergeCell ref="A54:B54"/>
    <mergeCell ref="E54:F54"/>
    <mergeCell ref="G54:H54"/>
    <mergeCell ref="T54:U54"/>
    <mergeCell ref="V52:W52"/>
    <mergeCell ref="A53:B53"/>
    <mergeCell ref="E53:F53"/>
    <mergeCell ref="G53:H53"/>
    <mergeCell ref="T53:U53"/>
    <mergeCell ref="V53:W53"/>
    <mergeCell ref="A52:B52"/>
    <mergeCell ref="E52:F52"/>
    <mergeCell ref="G52:H52"/>
    <mergeCell ref="T52:U52"/>
    <mergeCell ref="V50:W50"/>
    <mergeCell ref="A51:B51"/>
    <mergeCell ref="E51:F51"/>
    <mergeCell ref="G51:H51"/>
    <mergeCell ref="T51:U51"/>
    <mergeCell ref="V51:W51"/>
    <mergeCell ref="A50:B50"/>
    <mergeCell ref="E50:F50"/>
    <mergeCell ref="G50:H50"/>
    <mergeCell ref="T50:U50"/>
    <mergeCell ref="V48:W48"/>
    <mergeCell ref="A49:B49"/>
    <mergeCell ref="E49:F49"/>
    <mergeCell ref="G49:H49"/>
    <mergeCell ref="T49:U49"/>
    <mergeCell ref="V49:W49"/>
    <mergeCell ref="A48:B48"/>
    <mergeCell ref="E48:F48"/>
    <mergeCell ref="G48:H48"/>
    <mergeCell ref="T48:U48"/>
    <mergeCell ref="V46:W46"/>
    <mergeCell ref="A47:B47"/>
    <mergeCell ref="E47:F47"/>
    <mergeCell ref="G47:H47"/>
    <mergeCell ref="T47:U47"/>
    <mergeCell ref="V47:W47"/>
    <mergeCell ref="A46:B46"/>
    <mergeCell ref="E46:F46"/>
    <mergeCell ref="G46:H46"/>
    <mergeCell ref="T46:U46"/>
    <mergeCell ref="V44:W44"/>
    <mergeCell ref="A45:B45"/>
    <mergeCell ref="E45:F45"/>
    <mergeCell ref="G45:H45"/>
    <mergeCell ref="T45:U45"/>
    <mergeCell ref="V45:W45"/>
    <mergeCell ref="A44:B44"/>
    <mergeCell ref="E44:F44"/>
    <mergeCell ref="G44:H44"/>
    <mergeCell ref="T44:U44"/>
    <mergeCell ref="V42:W42"/>
    <mergeCell ref="A43:B43"/>
    <mergeCell ref="E43:F43"/>
    <mergeCell ref="G43:H43"/>
    <mergeCell ref="T43:U43"/>
    <mergeCell ref="V43:W43"/>
    <mergeCell ref="A42:B42"/>
    <mergeCell ref="E42:F42"/>
    <mergeCell ref="G42:H42"/>
    <mergeCell ref="T42:U42"/>
    <mergeCell ref="V41:W41"/>
    <mergeCell ref="V40:W40"/>
    <mergeCell ref="A40:B40"/>
    <mergeCell ref="E40:F40"/>
    <mergeCell ref="G40:H40"/>
    <mergeCell ref="T40:U40"/>
    <mergeCell ref="A41:B41"/>
    <mergeCell ref="E41:F41"/>
    <mergeCell ref="G41:H41"/>
    <mergeCell ref="T41:U41"/>
    <mergeCell ref="V38:W38"/>
    <mergeCell ref="A39:B39"/>
    <mergeCell ref="E39:F39"/>
    <mergeCell ref="G39:H39"/>
    <mergeCell ref="T39:U39"/>
    <mergeCell ref="V39:W39"/>
    <mergeCell ref="A38:B38"/>
    <mergeCell ref="E38:F38"/>
    <mergeCell ref="G38:H38"/>
    <mergeCell ref="T38:U38"/>
    <mergeCell ref="V36:W36"/>
    <mergeCell ref="A37:B37"/>
    <mergeCell ref="E37:F37"/>
    <mergeCell ref="G37:H37"/>
    <mergeCell ref="T37:U37"/>
    <mergeCell ref="V37:W37"/>
    <mergeCell ref="A36:B36"/>
    <mergeCell ref="E36:F36"/>
    <mergeCell ref="G36:H36"/>
    <mergeCell ref="T36:U36"/>
    <mergeCell ref="V34:W34"/>
    <mergeCell ref="A35:B35"/>
    <mergeCell ref="E35:F35"/>
    <mergeCell ref="G35:H35"/>
    <mergeCell ref="T35:U35"/>
    <mergeCell ref="V35:W35"/>
    <mergeCell ref="A34:B34"/>
    <mergeCell ref="E34:F34"/>
    <mergeCell ref="G34:H34"/>
    <mergeCell ref="T34:U34"/>
    <mergeCell ref="V32:W32"/>
    <mergeCell ref="A33:B33"/>
    <mergeCell ref="E33:F33"/>
    <mergeCell ref="G33:H33"/>
    <mergeCell ref="T33:U33"/>
    <mergeCell ref="V33:W33"/>
    <mergeCell ref="A32:B32"/>
    <mergeCell ref="E32:F32"/>
    <mergeCell ref="G32:H32"/>
    <mergeCell ref="T32:U32"/>
    <mergeCell ref="V30:W30"/>
    <mergeCell ref="A31:B31"/>
    <mergeCell ref="E31:F31"/>
    <mergeCell ref="G31:H31"/>
    <mergeCell ref="T31:U31"/>
    <mergeCell ref="V31:W31"/>
    <mergeCell ref="A30:B30"/>
    <mergeCell ref="E30:F30"/>
    <mergeCell ref="G30:H30"/>
    <mergeCell ref="T30:U30"/>
    <mergeCell ref="V28:W28"/>
    <mergeCell ref="A29:B29"/>
    <mergeCell ref="E29:F29"/>
    <mergeCell ref="G29:H29"/>
    <mergeCell ref="T29:U29"/>
    <mergeCell ref="V29:W29"/>
    <mergeCell ref="A28:B28"/>
    <mergeCell ref="E28:F28"/>
    <mergeCell ref="G28:H28"/>
    <mergeCell ref="T28:U28"/>
    <mergeCell ref="V26:W26"/>
    <mergeCell ref="A27:B27"/>
    <mergeCell ref="E27:F27"/>
    <mergeCell ref="G27:H27"/>
    <mergeCell ref="T27:U27"/>
    <mergeCell ref="V27:W27"/>
    <mergeCell ref="P23:P25"/>
    <mergeCell ref="Q23:Q25"/>
    <mergeCell ref="T24:U25"/>
    <mergeCell ref="A26:B26"/>
    <mergeCell ref="E26:F26"/>
    <mergeCell ref="G26:H26"/>
    <mergeCell ref="T26:U26"/>
    <mergeCell ref="K23:L24"/>
    <mergeCell ref="M23:M25"/>
    <mergeCell ref="N23:N25"/>
    <mergeCell ref="O23:O25"/>
    <mergeCell ref="G20:H25"/>
    <mergeCell ref="I20:W20"/>
    <mergeCell ref="I21:I25"/>
    <mergeCell ref="J21:Q22"/>
    <mergeCell ref="R21:R25"/>
    <mergeCell ref="S21:W21"/>
    <mergeCell ref="S22:S25"/>
    <mergeCell ref="T22:U23"/>
    <mergeCell ref="V22:W25"/>
    <mergeCell ref="J23:J25"/>
    <mergeCell ref="A20:B25"/>
    <mergeCell ref="C20:C25"/>
    <mergeCell ref="D20:D25"/>
    <mergeCell ref="E20:F25"/>
    <mergeCell ref="B19:E19"/>
    <mergeCell ref="F19:G19"/>
    <mergeCell ref="H19:W19"/>
    <mergeCell ref="V17:W17"/>
    <mergeCell ref="A18:F18"/>
    <mergeCell ref="G18:H18"/>
    <mergeCell ref="T18:U18"/>
    <mergeCell ref="V18:W18"/>
    <mergeCell ref="A17:B17"/>
    <mergeCell ref="E17:F17"/>
    <mergeCell ref="G17:H17"/>
    <mergeCell ref="T17:U17"/>
    <mergeCell ref="V15:W15"/>
    <mergeCell ref="A16:B16"/>
    <mergeCell ref="E16:F16"/>
    <mergeCell ref="G16:H16"/>
    <mergeCell ref="T16:U16"/>
    <mergeCell ref="V16:W16"/>
    <mergeCell ref="A15:B15"/>
    <mergeCell ref="E15:F15"/>
    <mergeCell ref="G15:H15"/>
    <mergeCell ref="T15:U15"/>
    <mergeCell ref="V13:W13"/>
    <mergeCell ref="A14:B14"/>
    <mergeCell ref="E14:F14"/>
    <mergeCell ref="G14:H14"/>
    <mergeCell ref="T14:U14"/>
    <mergeCell ref="V14:W14"/>
    <mergeCell ref="T11:U12"/>
    <mergeCell ref="A13:B13"/>
    <mergeCell ref="E13:F13"/>
    <mergeCell ref="G13:H13"/>
    <mergeCell ref="T13:U13"/>
    <mergeCell ref="K10:L11"/>
    <mergeCell ref="M10:M12"/>
    <mergeCell ref="N10:N12"/>
    <mergeCell ref="I7:W7"/>
    <mergeCell ref="I8:I12"/>
    <mergeCell ref="J8:Q9"/>
    <mergeCell ref="R8:R12"/>
    <mergeCell ref="S8:W8"/>
    <mergeCell ref="S9:S12"/>
    <mergeCell ref="T9:U10"/>
    <mergeCell ref="V9:W12"/>
    <mergeCell ref="P10:P12"/>
    <mergeCell ref="Q10:Q12"/>
    <mergeCell ref="B6:E6"/>
    <mergeCell ref="F6:G6"/>
    <mergeCell ref="H6:W6"/>
    <mergeCell ref="J10:J12"/>
    <mergeCell ref="A7:B12"/>
    <mergeCell ref="C7:C12"/>
    <mergeCell ref="D7:D12"/>
    <mergeCell ref="E7:F12"/>
    <mergeCell ref="O10:O12"/>
    <mergeCell ref="G7:H12"/>
  </mergeCells>
  <printOptions horizontalCentered="1"/>
  <pageMargins left="0.2362204724409449" right="0.1968503937007874" top="0.3937007874015748" bottom="0.35" header="0.2362204724409449" footer="0.15748031496062992"/>
  <pageSetup fitToHeight="15" fitToWidth="1" horizontalDpi="600" verticalDpi="600" orientation="landscape" paperSize="9" scale="96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A1">
      <selection activeCell="E21" sqref="E21"/>
    </sheetView>
  </sheetViews>
  <sheetFormatPr defaultColWidth="9.00390625" defaultRowHeight="12.75"/>
  <cols>
    <col min="1" max="1" width="30.75390625" style="42" customWidth="1"/>
    <col min="2" max="2" width="9.125" style="42" customWidth="1"/>
    <col min="3" max="3" width="11.375" style="42" customWidth="1"/>
    <col min="4" max="4" width="11.125" style="42" customWidth="1"/>
    <col min="5" max="5" width="30.75390625" style="42" customWidth="1"/>
    <col min="6" max="6" width="9.125" style="42" customWidth="1"/>
    <col min="7" max="7" width="11.375" style="42" customWidth="1"/>
    <col min="8" max="8" width="11.125" style="42" customWidth="1"/>
    <col min="9" max="16384" width="9.125" style="42" customWidth="1"/>
  </cols>
  <sheetData>
    <row r="1" ht="15">
      <c r="F1" t="s">
        <v>442</v>
      </c>
    </row>
    <row r="2" ht="15">
      <c r="F2" t="s">
        <v>443</v>
      </c>
    </row>
    <row r="3" ht="15">
      <c r="F3" t="s">
        <v>32</v>
      </c>
    </row>
    <row r="4" ht="15">
      <c r="F4" t="s">
        <v>444</v>
      </c>
    </row>
    <row r="5" ht="15">
      <c r="F5"/>
    </row>
    <row r="6" ht="15">
      <c r="F6"/>
    </row>
    <row r="7" spans="1:8" ht="30" customHeight="1">
      <c r="A7" s="670" t="s">
        <v>420</v>
      </c>
      <c r="B7" s="670"/>
      <c r="C7" s="670"/>
      <c r="D7" s="670"/>
      <c r="E7" s="670"/>
      <c r="F7" s="670"/>
      <c r="G7" s="670"/>
      <c r="H7" s="670"/>
    </row>
    <row r="8" spans="2:8" ht="16.5" thickBot="1">
      <c r="B8" s="350"/>
      <c r="C8" s="350"/>
      <c r="D8" s="350"/>
      <c r="E8" s="350"/>
      <c r="F8" s="350"/>
      <c r="G8" s="350"/>
      <c r="H8" s="350"/>
    </row>
    <row r="9" spans="1:8" ht="15.75">
      <c r="A9" s="356"/>
      <c r="B9" s="357" t="s">
        <v>334</v>
      </c>
      <c r="C9" s="357"/>
      <c r="D9" s="358"/>
      <c r="E9" s="667" t="s">
        <v>9</v>
      </c>
      <c r="F9" s="668"/>
      <c r="G9" s="668"/>
      <c r="H9" s="669"/>
    </row>
    <row r="10" spans="1:8" ht="16.5" thickBot="1">
      <c r="A10" s="359" t="s">
        <v>2</v>
      </c>
      <c r="B10" s="360" t="s">
        <v>3</v>
      </c>
      <c r="C10" s="361" t="s">
        <v>4</v>
      </c>
      <c r="D10" s="367" t="s">
        <v>338</v>
      </c>
      <c r="E10" s="359" t="s">
        <v>2</v>
      </c>
      <c r="F10" s="362" t="s">
        <v>3</v>
      </c>
      <c r="G10" s="360" t="s">
        <v>4</v>
      </c>
      <c r="H10" s="363" t="s">
        <v>338</v>
      </c>
    </row>
    <row r="11" spans="1:8" ht="30">
      <c r="A11" s="364" t="s">
        <v>339</v>
      </c>
      <c r="B11" s="354">
        <v>756</v>
      </c>
      <c r="C11" s="355">
        <v>75618</v>
      </c>
      <c r="D11" s="368">
        <v>340000</v>
      </c>
      <c r="E11" s="353" t="s">
        <v>340</v>
      </c>
      <c r="F11" s="352">
        <v>851</v>
      </c>
      <c r="G11" s="351">
        <v>85153</v>
      </c>
      <c r="H11" s="366">
        <v>40000</v>
      </c>
    </row>
    <row r="12" spans="1:8" ht="43.5" thickBot="1">
      <c r="A12" s="364"/>
      <c r="B12" s="369"/>
      <c r="C12" s="370"/>
      <c r="D12" s="371"/>
      <c r="E12" s="365" t="s">
        <v>345</v>
      </c>
      <c r="F12" s="372">
        <v>851</v>
      </c>
      <c r="G12" s="369">
        <v>85154</v>
      </c>
      <c r="H12" s="373">
        <v>300000</v>
      </c>
    </row>
    <row r="13" spans="1:8" ht="16.5" thickBot="1">
      <c r="A13" s="665" t="s">
        <v>24</v>
      </c>
      <c r="B13" s="666"/>
      <c r="C13" s="666"/>
      <c r="D13" s="374">
        <f>SUM(D11:D12)</f>
        <v>340000</v>
      </c>
      <c r="E13" s="665" t="s">
        <v>24</v>
      </c>
      <c r="F13" s="666"/>
      <c r="G13" s="666"/>
      <c r="H13" s="269">
        <f>SUM(H11:H12)</f>
        <v>340000</v>
      </c>
    </row>
  </sheetData>
  <mergeCells count="4">
    <mergeCell ref="A13:C13"/>
    <mergeCell ref="E13:G13"/>
    <mergeCell ref="E9:H9"/>
    <mergeCell ref="A7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view="pageBreakPreview" zoomScaleSheetLayoutView="100" workbookViewId="0" topLeftCell="A1">
      <selection activeCell="I6" sqref="I6"/>
    </sheetView>
  </sheetViews>
  <sheetFormatPr defaultColWidth="9.00390625" defaultRowHeight="12.75"/>
  <cols>
    <col min="1" max="1" width="4.75390625" style="0" customWidth="1"/>
    <col min="2" max="2" width="32.625" style="0" customWidth="1"/>
    <col min="3" max="3" width="12.125" style="0" customWidth="1"/>
    <col min="4" max="4" width="10.875" style="0" customWidth="1"/>
    <col min="5" max="5" width="11.125" style="0" customWidth="1"/>
    <col min="6" max="6" width="14.75390625" style="0" customWidth="1"/>
    <col min="7" max="7" width="15.00390625" style="0" customWidth="1"/>
    <col min="8" max="8" width="14.00390625" style="0" customWidth="1"/>
    <col min="9" max="9" width="14.875" style="0" customWidth="1"/>
    <col min="10" max="10" width="13.25390625" style="0" customWidth="1"/>
    <col min="11" max="11" width="12.875" style="0" customWidth="1"/>
  </cols>
  <sheetData>
    <row r="1" ht="12.75">
      <c r="I1" t="s">
        <v>434</v>
      </c>
    </row>
    <row r="2" ht="12.75">
      <c r="I2" t="s">
        <v>443</v>
      </c>
    </row>
    <row r="3" ht="12.75">
      <c r="I3" t="s">
        <v>32</v>
      </c>
    </row>
    <row r="4" ht="12.75">
      <c r="I4" t="s">
        <v>444</v>
      </c>
    </row>
    <row r="6" spans="2:11" ht="16.5">
      <c r="B6" s="322" t="s">
        <v>438</v>
      </c>
      <c r="C6" s="322"/>
      <c r="D6" s="322"/>
      <c r="E6" s="322"/>
      <c r="F6" s="322"/>
      <c r="G6" s="322"/>
      <c r="H6" s="322"/>
      <c r="I6" s="322"/>
      <c r="J6" s="322"/>
      <c r="K6" s="322"/>
    </row>
    <row r="7" spans="2:11" ht="16.5">
      <c r="B7" s="322"/>
      <c r="C7" s="322"/>
      <c r="D7" s="322" t="s">
        <v>421</v>
      </c>
      <c r="E7" s="322"/>
      <c r="F7" s="322"/>
      <c r="G7" s="322"/>
      <c r="H7" s="322"/>
      <c r="I7" s="322"/>
      <c r="J7" s="322"/>
      <c r="K7" s="322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5" t="s">
        <v>17</v>
      </c>
    </row>
    <row r="9" spans="1:11" ht="15" customHeight="1">
      <c r="A9" s="673" t="s">
        <v>19</v>
      </c>
      <c r="B9" s="673" t="s">
        <v>2</v>
      </c>
      <c r="C9" s="676" t="s">
        <v>21</v>
      </c>
      <c r="D9" s="677"/>
      <c r="E9" s="677"/>
      <c r="F9" s="677"/>
      <c r="G9" s="677"/>
      <c r="H9" s="677"/>
      <c r="I9" s="678"/>
      <c r="J9" s="671" t="s">
        <v>9</v>
      </c>
      <c r="K9" s="671"/>
    </row>
    <row r="10" spans="1:11" ht="15" customHeight="1">
      <c r="A10" s="673"/>
      <c r="B10" s="673"/>
      <c r="C10" s="671" t="s">
        <v>8</v>
      </c>
      <c r="D10" s="679" t="s">
        <v>7</v>
      </c>
      <c r="E10" s="680"/>
      <c r="F10" s="680"/>
      <c r="G10" s="680"/>
      <c r="H10" s="680"/>
      <c r="I10" s="681"/>
      <c r="J10" s="671" t="s">
        <v>8</v>
      </c>
      <c r="K10" s="671" t="s">
        <v>20</v>
      </c>
    </row>
    <row r="11" spans="1:11" ht="24.75" customHeight="1">
      <c r="A11" s="673"/>
      <c r="B11" s="673"/>
      <c r="C11" s="671"/>
      <c r="D11" s="674" t="s">
        <v>327</v>
      </c>
      <c r="E11" s="679" t="s">
        <v>329</v>
      </c>
      <c r="F11" s="681"/>
      <c r="G11" s="682" t="s">
        <v>332</v>
      </c>
      <c r="H11" s="679" t="s">
        <v>330</v>
      </c>
      <c r="I11" s="681"/>
      <c r="J11" s="671"/>
      <c r="K11" s="671"/>
    </row>
    <row r="12" spans="1:11" ht="42" customHeight="1">
      <c r="A12" s="673"/>
      <c r="B12" s="673"/>
      <c r="C12" s="671"/>
      <c r="D12" s="675"/>
      <c r="E12" s="24" t="s">
        <v>245</v>
      </c>
      <c r="F12" s="24" t="s">
        <v>328</v>
      </c>
      <c r="G12" s="683"/>
      <c r="H12" s="24" t="s">
        <v>296</v>
      </c>
      <c r="I12" s="24" t="s">
        <v>331</v>
      </c>
      <c r="J12" s="671"/>
      <c r="K12" s="671"/>
    </row>
    <row r="13" spans="1:11" ht="12" customHeight="1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1" ht="19.5" customHeight="1">
      <c r="A14" s="22" t="s">
        <v>10</v>
      </c>
      <c r="B14" s="21" t="s">
        <v>11</v>
      </c>
      <c r="C14" s="135">
        <f>+C16</f>
        <v>1220150</v>
      </c>
      <c r="D14" s="135">
        <f>+D16</f>
        <v>500000</v>
      </c>
      <c r="E14" s="135">
        <f>+E16</f>
        <v>500000</v>
      </c>
      <c r="F14" s="135"/>
      <c r="G14" s="135"/>
      <c r="H14" s="135"/>
      <c r="I14" s="135"/>
      <c r="J14" s="135">
        <f>+J16</f>
        <v>1220150</v>
      </c>
      <c r="K14" s="135">
        <v>0</v>
      </c>
    </row>
    <row r="15" spans="1:11" ht="15" customHeight="1">
      <c r="A15" s="40"/>
      <c r="B15" s="41" t="s">
        <v>22</v>
      </c>
      <c r="C15" s="320"/>
      <c r="D15" s="320"/>
      <c r="E15" s="320"/>
      <c r="F15" s="320"/>
      <c r="G15" s="320"/>
      <c r="H15" s="320"/>
      <c r="I15" s="320"/>
      <c r="J15" s="320"/>
      <c r="K15" s="320"/>
    </row>
    <row r="16" spans="1:11" ht="25.5">
      <c r="A16" s="14">
        <v>1</v>
      </c>
      <c r="B16" s="15" t="s">
        <v>202</v>
      </c>
      <c r="C16" s="321">
        <f>+J16</f>
        <v>1220150</v>
      </c>
      <c r="D16" s="321">
        <f>+E16</f>
        <v>500000</v>
      </c>
      <c r="E16" s="321">
        <v>500000</v>
      </c>
      <c r="F16" s="409" t="s">
        <v>347</v>
      </c>
      <c r="G16" s="321"/>
      <c r="H16" s="321"/>
      <c r="I16" s="321"/>
      <c r="J16" s="321">
        <v>1220150</v>
      </c>
      <c r="K16" s="321">
        <v>0</v>
      </c>
    </row>
    <row r="17" spans="1:11" s="20" customFormat="1" ht="19.5" customHeight="1">
      <c r="A17" s="672" t="s">
        <v>24</v>
      </c>
      <c r="B17" s="672"/>
      <c r="C17" s="135">
        <f>+C14</f>
        <v>1220150</v>
      </c>
      <c r="D17" s="135">
        <f>+D14</f>
        <v>500000</v>
      </c>
      <c r="E17" s="135">
        <f>+E14</f>
        <v>500000</v>
      </c>
      <c r="F17" s="135"/>
      <c r="G17" s="135"/>
      <c r="H17" s="135"/>
      <c r="I17" s="135"/>
      <c r="J17" s="135">
        <f>+J14</f>
        <v>1220150</v>
      </c>
      <c r="K17" s="135">
        <f>+K14</f>
        <v>0</v>
      </c>
    </row>
    <row r="18" spans="1:5" ht="12.75" customHeight="1">
      <c r="A18" s="25"/>
      <c r="E18" s="61" t="s">
        <v>14</v>
      </c>
    </row>
    <row r="19" ht="12.75">
      <c r="A19" s="25"/>
    </row>
    <row r="20" ht="12.75">
      <c r="A20" s="25"/>
    </row>
    <row r="21" ht="12.75">
      <c r="A21" s="25"/>
    </row>
    <row r="24" ht="12.75">
      <c r="C24" s="60"/>
    </row>
  </sheetData>
  <mergeCells count="13">
    <mergeCell ref="G11:G12"/>
    <mergeCell ref="H11:I11"/>
    <mergeCell ref="E11:F11"/>
    <mergeCell ref="J10:J12"/>
    <mergeCell ref="K10:K12"/>
    <mergeCell ref="A17:B17"/>
    <mergeCell ref="J9:K9"/>
    <mergeCell ref="A9:A12"/>
    <mergeCell ref="B9:B12"/>
    <mergeCell ref="C10:C12"/>
    <mergeCell ref="D11:D12"/>
    <mergeCell ref="C9:I9"/>
    <mergeCell ref="D10:I10"/>
  </mergeCells>
  <printOptions horizontalCentered="1"/>
  <pageMargins left="0.5118110236220472" right="0.5118110236220472" top="0.42" bottom="0.42" header="0.19" footer="0.28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G31" sqref="G31"/>
    </sheetView>
  </sheetViews>
  <sheetFormatPr defaultColWidth="9.00390625" defaultRowHeight="12.75"/>
  <cols>
    <col min="1" max="1" width="4.125" style="42" customWidth="1"/>
    <col min="2" max="2" width="29.375" style="42" customWidth="1"/>
    <col min="3" max="3" width="8.375" style="42" customWidth="1"/>
    <col min="4" max="7" width="10.75390625" style="42" customWidth="1"/>
    <col min="8" max="8" width="11.375" style="42" customWidth="1"/>
    <col min="9" max="16384" width="9.125" style="42" customWidth="1"/>
  </cols>
  <sheetData>
    <row r="1" ht="15">
      <c r="F1" t="s">
        <v>346</v>
      </c>
    </row>
    <row r="2" ht="15">
      <c r="F2" t="s">
        <v>443</v>
      </c>
    </row>
    <row r="3" ht="15">
      <c r="F3" t="s">
        <v>32</v>
      </c>
    </row>
    <row r="4" ht="15">
      <c r="F4" t="s">
        <v>444</v>
      </c>
    </row>
    <row r="7" spans="1:8" ht="30" customHeight="1">
      <c r="A7" s="670" t="s">
        <v>439</v>
      </c>
      <c r="B7" s="670"/>
      <c r="C7" s="670"/>
      <c r="D7" s="670"/>
      <c r="E7" s="670"/>
      <c r="F7" s="670"/>
      <c r="G7" s="670"/>
      <c r="H7" s="670"/>
    </row>
    <row r="8" ht="15.75" thickBot="1"/>
    <row r="9" spans="1:8" ht="15">
      <c r="A9" s="688" t="s">
        <v>19</v>
      </c>
      <c r="B9" s="690" t="s">
        <v>333</v>
      </c>
      <c r="C9" s="692" t="s">
        <v>3</v>
      </c>
      <c r="D9" s="694" t="s">
        <v>4</v>
      </c>
      <c r="E9" s="696" t="s">
        <v>334</v>
      </c>
      <c r="F9" s="686" t="s">
        <v>335</v>
      </c>
      <c r="G9" s="698" t="s">
        <v>7</v>
      </c>
      <c r="H9" s="699"/>
    </row>
    <row r="10" spans="1:8" ht="15">
      <c r="A10" s="689"/>
      <c r="B10" s="691"/>
      <c r="C10" s="693"/>
      <c r="D10" s="695"/>
      <c r="E10" s="697"/>
      <c r="F10" s="687"/>
      <c r="G10" s="329" t="s">
        <v>336</v>
      </c>
      <c r="H10" s="330" t="s">
        <v>337</v>
      </c>
    </row>
    <row r="11" spans="1:8" s="323" customFormat="1" ht="14.25">
      <c r="A11" s="331">
        <v>1</v>
      </c>
      <c r="B11" s="332">
        <v>2</v>
      </c>
      <c r="C11" s="333">
        <v>3</v>
      </c>
      <c r="D11" s="333">
        <v>4</v>
      </c>
      <c r="E11" s="334">
        <v>5</v>
      </c>
      <c r="F11" s="334">
        <v>6</v>
      </c>
      <c r="G11" s="333">
        <v>7</v>
      </c>
      <c r="H11" s="335">
        <v>8</v>
      </c>
    </row>
    <row r="12" spans="1:8" ht="15">
      <c r="A12" s="336">
        <v>1</v>
      </c>
      <c r="B12" s="337" t="s">
        <v>203</v>
      </c>
      <c r="C12" s="338">
        <v>801</v>
      </c>
      <c r="D12" s="339">
        <v>80110</v>
      </c>
      <c r="E12" s="400">
        <v>2500</v>
      </c>
      <c r="F12" s="401">
        <f>+G12+H12</f>
        <v>2500</v>
      </c>
      <c r="G12" s="402">
        <f>+E12</f>
        <v>2500</v>
      </c>
      <c r="H12" s="403"/>
    </row>
    <row r="13" spans="1:8" ht="15">
      <c r="A13" s="340">
        <v>2</v>
      </c>
      <c r="B13" s="341" t="s">
        <v>204</v>
      </c>
      <c r="C13" s="342">
        <v>801</v>
      </c>
      <c r="D13" s="343">
        <v>80110</v>
      </c>
      <c r="E13" s="344">
        <v>8440</v>
      </c>
      <c r="F13" s="404">
        <f aca="true" t="shared" si="0" ref="F13:F19">+G13+H13</f>
        <v>8440</v>
      </c>
      <c r="G13" s="342">
        <f aca="true" t="shared" si="1" ref="G13:G19">+E13</f>
        <v>8440</v>
      </c>
      <c r="H13" s="345"/>
    </row>
    <row r="14" spans="1:8" ht="15">
      <c r="A14" s="340">
        <v>3</v>
      </c>
      <c r="B14" s="341" t="s">
        <v>205</v>
      </c>
      <c r="C14" s="342">
        <v>801</v>
      </c>
      <c r="D14" s="343">
        <v>80110</v>
      </c>
      <c r="E14" s="344">
        <v>7700</v>
      </c>
      <c r="F14" s="404">
        <f t="shared" si="0"/>
        <v>7700</v>
      </c>
      <c r="G14" s="342">
        <f t="shared" si="1"/>
        <v>7700</v>
      </c>
      <c r="H14" s="345"/>
    </row>
    <row r="15" spans="1:8" ht="15">
      <c r="A15" s="340">
        <v>4</v>
      </c>
      <c r="B15" s="341" t="s">
        <v>206</v>
      </c>
      <c r="C15" s="342">
        <v>801</v>
      </c>
      <c r="D15" s="343">
        <v>80101</v>
      </c>
      <c r="E15" s="344">
        <v>23920</v>
      </c>
      <c r="F15" s="404">
        <f t="shared" si="0"/>
        <v>23920</v>
      </c>
      <c r="G15" s="342">
        <f t="shared" si="1"/>
        <v>23920</v>
      </c>
      <c r="H15" s="345"/>
    </row>
    <row r="16" spans="1:8" ht="15">
      <c r="A16" s="340">
        <v>5</v>
      </c>
      <c r="B16" s="341" t="s">
        <v>207</v>
      </c>
      <c r="C16" s="342">
        <v>801</v>
      </c>
      <c r="D16" s="343">
        <v>80101</v>
      </c>
      <c r="E16" s="344">
        <v>9000</v>
      </c>
      <c r="F16" s="404">
        <f t="shared" si="0"/>
        <v>9000</v>
      </c>
      <c r="G16" s="342">
        <f t="shared" si="1"/>
        <v>9000</v>
      </c>
      <c r="H16" s="345"/>
    </row>
    <row r="17" spans="1:8" ht="15">
      <c r="A17" s="340">
        <v>6</v>
      </c>
      <c r="B17" s="341" t="s">
        <v>115</v>
      </c>
      <c r="C17" s="342">
        <v>801</v>
      </c>
      <c r="D17" s="343">
        <v>80101</v>
      </c>
      <c r="E17" s="344">
        <v>2500</v>
      </c>
      <c r="F17" s="404">
        <f t="shared" si="0"/>
        <v>2500</v>
      </c>
      <c r="G17" s="342">
        <f t="shared" si="1"/>
        <v>2500</v>
      </c>
      <c r="H17" s="345"/>
    </row>
    <row r="18" spans="1:8" ht="15">
      <c r="A18" s="340">
        <v>7</v>
      </c>
      <c r="B18" s="341" t="s">
        <v>208</v>
      </c>
      <c r="C18" s="342">
        <v>801</v>
      </c>
      <c r="D18" s="343">
        <v>80101</v>
      </c>
      <c r="E18" s="344">
        <v>4900</v>
      </c>
      <c r="F18" s="404">
        <f t="shared" si="0"/>
        <v>4900</v>
      </c>
      <c r="G18" s="342">
        <f t="shared" si="1"/>
        <v>4900</v>
      </c>
      <c r="H18" s="345"/>
    </row>
    <row r="19" spans="1:8" ht="15.75" thickBot="1">
      <c r="A19" s="346">
        <v>8</v>
      </c>
      <c r="B19" s="347" t="s">
        <v>209</v>
      </c>
      <c r="C19" s="348">
        <v>801</v>
      </c>
      <c r="D19" s="349">
        <v>80114</v>
      </c>
      <c r="E19" s="405">
        <v>6100</v>
      </c>
      <c r="F19" s="406">
        <f t="shared" si="0"/>
        <v>6100</v>
      </c>
      <c r="G19" s="407">
        <f t="shared" si="1"/>
        <v>6100</v>
      </c>
      <c r="H19" s="408"/>
    </row>
    <row r="20" spans="1:8" ht="15.75" thickBot="1">
      <c r="A20" s="684" t="s">
        <v>24</v>
      </c>
      <c r="B20" s="685"/>
      <c r="C20" s="324"/>
      <c r="D20" s="325"/>
      <c r="E20" s="326">
        <f>SUM(E12:E19)</f>
        <v>65060</v>
      </c>
      <c r="F20" s="327">
        <f>SUM(F12:F19)</f>
        <v>65060</v>
      </c>
      <c r="G20" s="324">
        <f>SUM(G12:G19)</f>
        <v>65060</v>
      </c>
      <c r="H20" s="328">
        <f>SUM(H12:H19)</f>
        <v>0</v>
      </c>
    </row>
  </sheetData>
  <mergeCells count="9">
    <mergeCell ref="A20:B20"/>
    <mergeCell ref="F9:F10"/>
    <mergeCell ref="A7:H7"/>
    <mergeCell ref="A9:A10"/>
    <mergeCell ref="B9:B10"/>
    <mergeCell ref="C9:C10"/>
    <mergeCell ref="D9:D10"/>
    <mergeCell ref="E9:E10"/>
    <mergeCell ref="G9:H9"/>
  </mergeCells>
  <printOptions horizontalCentered="1"/>
  <pageMargins left="0.5118110236220472" right="0.31496062992125984" top="0.4" bottom="0.984251968503937" header="0.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view="pageBreakPreview" zoomScaleSheetLayoutView="100" workbookViewId="0" topLeftCell="A1">
      <selection activeCell="J21" sqref="J21"/>
    </sheetView>
  </sheetViews>
  <sheetFormatPr defaultColWidth="9.00390625" defaultRowHeight="12.75"/>
  <cols>
    <col min="1" max="1" width="7.75390625" style="0" customWidth="1"/>
    <col min="2" max="2" width="10.00390625" style="0" customWidth="1"/>
    <col min="3" max="3" width="47.75390625" style="0" customWidth="1"/>
    <col min="4" max="6" width="12.625" style="0" customWidth="1"/>
  </cols>
  <sheetData>
    <row r="1" ht="12.75">
      <c r="D1" t="s">
        <v>436</v>
      </c>
    </row>
    <row r="2" ht="12.75">
      <c r="D2" t="s">
        <v>443</v>
      </c>
    </row>
    <row r="3" ht="12.75">
      <c r="D3" t="s">
        <v>32</v>
      </c>
    </row>
    <row r="4" ht="12.75">
      <c r="D4" t="s">
        <v>444</v>
      </c>
    </row>
    <row r="7" spans="1:5" ht="31.5" customHeight="1">
      <c r="A7" s="701" t="s">
        <v>441</v>
      </c>
      <c r="B7" s="701"/>
      <c r="C7" s="701"/>
      <c r="D7" s="701"/>
      <c r="E7" s="701"/>
    </row>
    <row r="8" spans="3:4" ht="11.25" customHeight="1">
      <c r="C8" s="1"/>
      <c r="D8" s="5" t="s">
        <v>17</v>
      </c>
    </row>
    <row r="9" spans="1:6" ht="19.5" customHeight="1">
      <c r="A9" s="705" t="s">
        <v>3</v>
      </c>
      <c r="B9" s="705" t="s">
        <v>4</v>
      </c>
      <c r="C9" s="705" t="s">
        <v>6</v>
      </c>
      <c r="D9" s="702" t="s">
        <v>18</v>
      </c>
      <c r="E9" s="703"/>
      <c r="F9" s="704"/>
    </row>
    <row r="10" spans="1:6" ht="19.5" customHeight="1">
      <c r="A10" s="706"/>
      <c r="B10" s="706"/>
      <c r="C10" s="706"/>
      <c r="D10" s="306" t="s">
        <v>316</v>
      </c>
      <c r="E10" s="410" t="s">
        <v>317</v>
      </c>
      <c r="F10" s="410" t="s">
        <v>318</v>
      </c>
    </row>
    <row r="11" spans="1:6" s="23" customFormat="1" ht="13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23" customFormat="1" ht="37.5" customHeight="1">
      <c r="A12" s="700" t="s">
        <v>319</v>
      </c>
      <c r="B12" s="700"/>
      <c r="C12" s="309" t="s">
        <v>320</v>
      </c>
      <c r="D12" s="7"/>
      <c r="E12" s="8"/>
      <c r="F12" s="8"/>
    </row>
    <row r="13" spans="1:6" s="23" customFormat="1" ht="12.75">
      <c r="A13" s="139"/>
      <c r="B13" s="139"/>
      <c r="C13" s="303"/>
      <c r="D13" s="9"/>
      <c r="E13" s="10"/>
      <c r="F13" s="10"/>
    </row>
    <row r="14" spans="1:6" ht="12.75">
      <c r="A14" s="11">
        <v>921</v>
      </c>
      <c r="B14" s="11">
        <v>92113</v>
      </c>
      <c r="C14" s="12" t="s">
        <v>325</v>
      </c>
      <c r="D14" s="137">
        <v>1000000</v>
      </c>
      <c r="F14" s="136"/>
    </row>
    <row r="15" spans="1:6" ht="12.75">
      <c r="A15" s="11">
        <v>921</v>
      </c>
      <c r="B15" s="11">
        <v>92116</v>
      </c>
      <c r="C15" s="12" t="s">
        <v>324</v>
      </c>
      <c r="D15" s="137">
        <v>304300</v>
      </c>
      <c r="E15" s="310"/>
      <c r="F15" s="136"/>
    </row>
    <row r="16" spans="1:6" ht="12.75">
      <c r="A16" s="38">
        <v>926</v>
      </c>
      <c r="B16" s="38">
        <v>92601</v>
      </c>
      <c r="C16" s="304" t="s">
        <v>326</v>
      </c>
      <c r="D16" s="137"/>
      <c r="E16" s="310">
        <v>500000</v>
      </c>
      <c r="F16" s="136"/>
    </row>
    <row r="17" spans="1:6" ht="12.75">
      <c r="A17" s="300"/>
      <c r="B17" s="300"/>
      <c r="C17" s="305"/>
      <c r="D17" s="138"/>
      <c r="E17" s="311"/>
      <c r="F17" s="312"/>
    </row>
    <row r="18" spans="1:6" ht="37.5" customHeight="1">
      <c r="A18" s="700" t="s">
        <v>321</v>
      </c>
      <c r="B18" s="700"/>
      <c r="C18" s="309" t="s">
        <v>322</v>
      </c>
      <c r="D18" s="313"/>
      <c r="E18" s="314"/>
      <c r="F18" s="315"/>
    </row>
    <row r="19" spans="1:6" ht="12.75">
      <c r="A19" s="411"/>
      <c r="B19" s="411"/>
      <c r="C19" s="412"/>
      <c r="D19" s="413"/>
      <c r="E19" s="414"/>
      <c r="F19" s="414"/>
    </row>
    <row r="20" spans="1:6" ht="12.75">
      <c r="A20" s="11">
        <v>754</v>
      </c>
      <c r="B20" s="11">
        <v>75412</v>
      </c>
      <c r="C20" s="12" t="s">
        <v>349</v>
      </c>
      <c r="D20" s="137"/>
      <c r="E20" s="310"/>
      <c r="F20" s="310">
        <v>20000</v>
      </c>
    </row>
    <row r="21" spans="1:6" ht="12.75">
      <c r="A21" s="38">
        <v>801</v>
      </c>
      <c r="B21" s="38">
        <v>80104</v>
      </c>
      <c r="C21" s="304" t="s">
        <v>323</v>
      </c>
      <c r="D21" s="316">
        <v>2029200</v>
      </c>
      <c r="E21" s="320"/>
      <c r="F21" s="320"/>
    </row>
    <row r="22" spans="1:6" ht="25.5">
      <c r="A22" s="38">
        <v>926</v>
      </c>
      <c r="B22" s="38">
        <v>92605</v>
      </c>
      <c r="C22" s="304" t="s">
        <v>196</v>
      </c>
      <c r="D22" s="316"/>
      <c r="E22" s="310"/>
      <c r="F22" s="137">
        <v>200000</v>
      </c>
    </row>
    <row r="23" spans="1:6" ht="25.5">
      <c r="A23" s="38">
        <v>926</v>
      </c>
      <c r="B23" s="38">
        <v>92605</v>
      </c>
      <c r="C23" s="304" t="s">
        <v>197</v>
      </c>
      <c r="D23" s="316"/>
      <c r="E23" s="310"/>
      <c r="F23" s="137">
        <v>60000</v>
      </c>
    </row>
    <row r="24" spans="1:6" ht="25.5">
      <c r="A24" s="38">
        <v>926</v>
      </c>
      <c r="B24" s="38">
        <v>92605</v>
      </c>
      <c r="C24" s="304" t="s">
        <v>210</v>
      </c>
      <c r="D24" s="316"/>
      <c r="E24" s="310"/>
      <c r="F24" s="137">
        <v>45000</v>
      </c>
    </row>
    <row r="25" spans="1:6" ht="25.5">
      <c r="A25" s="11">
        <v>926</v>
      </c>
      <c r="B25" s="11">
        <v>92605</v>
      </c>
      <c r="C25" s="12" t="s">
        <v>211</v>
      </c>
      <c r="D25" s="137"/>
      <c r="E25" s="310"/>
      <c r="F25" s="137">
        <v>35000</v>
      </c>
    </row>
    <row r="26" spans="1:6" ht="25.5">
      <c r="A26" s="11">
        <v>926</v>
      </c>
      <c r="B26" s="11">
        <v>92605</v>
      </c>
      <c r="C26" s="12" t="s">
        <v>198</v>
      </c>
      <c r="D26" s="137"/>
      <c r="E26" s="310"/>
      <c r="F26" s="137">
        <v>25000</v>
      </c>
    </row>
    <row r="27" spans="1:6" ht="12.75">
      <c r="A27" s="300">
        <v>926</v>
      </c>
      <c r="B27" s="300">
        <v>92605</v>
      </c>
      <c r="C27" s="305" t="s">
        <v>341</v>
      </c>
      <c r="D27" s="317"/>
      <c r="E27" s="318"/>
      <c r="F27" s="317">
        <v>70000</v>
      </c>
    </row>
    <row r="28" spans="1:6" ht="25.5">
      <c r="A28" s="11">
        <v>926</v>
      </c>
      <c r="B28" s="11">
        <v>92605</v>
      </c>
      <c r="C28" s="12" t="s">
        <v>199</v>
      </c>
      <c r="D28" s="137"/>
      <c r="E28" s="310"/>
      <c r="F28" s="137">
        <v>16000</v>
      </c>
    </row>
    <row r="29" spans="1:6" ht="12.75">
      <c r="A29" s="11">
        <v>926</v>
      </c>
      <c r="B29" s="11">
        <v>92605</v>
      </c>
      <c r="C29" s="12" t="s">
        <v>200</v>
      </c>
      <c r="D29" s="137"/>
      <c r="E29" s="310"/>
      <c r="F29" s="137">
        <v>5000</v>
      </c>
    </row>
    <row r="30" spans="1:6" ht="12.75">
      <c r="A30" s="13"/>
      <c r="B30" s="13"/>
      <c r="C30" s="319"/>
      <c r="D30" s="138"/>
      <c r="E30" s="311"/>
      <c r="F30" s="311"/>
    </row>
    <row r="31" spans="1:10" ht="12.75">
      <c r="A31" s="307"/>
      <c r="B31" s="307"/>
      <c r="C31" s="308"/>
      <c r="D31" s="43">
        <f>SUM(D14:D30)</f>
        <v>3333500</v>
      </c>
      <c r="E31" s="43">
        <f>SUM(E14:E30)</f>
        <v>500000</v>
      </c>
      <c r="F31" s="43">
        <f>SUM(F14:F30)</f>
        <v>476000</v>
      </c>
      <c r="H31" s="61"/>
      <c r="I31" s="61"/>
      <c r="J31" s="61"/>
    </row>
    <row r="32" spans="1:6" ht="12.75">
      <c r="A32" s="1"/>
      <c r="B32" s="1"/>
      <c r="C32" s="1"/>
      <c r="D32" s="1"/>
      <c r="E32" s="1"/>
      <c r="F32" s="1"/>
    </row>
    <row r="33" spans="1:6" ht="12.75">
      <c r="A33" s="1" t="s">
        <v>14</v>
      </c>
      <c r="B33" s="1" t="s">
        <v>14</v>
      </c>
      <c r="C33" s="1" t="s">
        <v>14</v>
      </c>
      <c r="D33" s="1"/>
      <c r="E33" s="1"/>
      <c r="F33" s="1"/>
    </row>
  </sheetData>
  <mergeCells count="7">
    <mergeCell ref="A18:B18"/>
    <mergeCell ref="A7:E7"/>
    <mergeCell ref="D9:F9"/>
    <mergeCell ref="A12:B12"/>
    <mergeCell ref="A9:A10"/>
    <mergeCell ref="B9:B10"/>
    <mergeCell ref="C9:C10"/>
  </mergeCells>
  <printOptions horizontalCentered="1"/>
  <pageMargins left="0.3937007874015748" right="0.2" top="0.78" bottom="0.984251968503937" header="0.26" footer="0.5118110236220472"/>
  <pageSetup fitToHeight="3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view="pageBreakPreview" zoomScaleSheetLayoutView="100" workbookViewId="0" topLeftCell="A1">
      <selection activeCell="I32" sqref="I32"/>
    </sheetView>
  </sheetViews>
  <sheetFormatPr defaultColWidth="9.00390625" defaultRowHeight="12.75"/>
  <cols>
    <col min="1" max="1" width="16.25390625" style="158" customWidth="1"/>
    <col min="2" max="2" width="7.00390625" style="158" customWidth="1"/>
    <col min="3" max="3" width="9.125" style="158" customWidth="1"/>
    <col min="4" max="4" width="29.25390625" style="158" customWidth="1"/>
    <col min="5" max="5" width="14.75390625" style="158" customWidth="1"/>
    <col min="6" max="6" width="17.625" style="158" customWidth="1"/>
    <col min="7" max="7" width="11.125" style="158" customWidth="1"/>
    <col min="8" max="16384" width="9.125" style="158" customWidth="1"/>
  </cols>
  <sheetData>
    <row r="1" s="298" customFormat="1" ht="12.75">
      <c r="E1" s="299" t="s">
        <v>440</v>
      </c>
    </row>
    <row r="2" s="298" customFormat="1" ht="12.75">
      <c r="E2" t="s">
        <v>443</v>
      </c>
    </row>
    <row r="3" s="298" customFormat="1" ht="12.75">
      <c r="E3" t="s">
        <v>32</v>
      </c>
    </row>
    <row r="4" s="298" customFormat="1" ht="12.75">
      <c r="E4" t="s">
        <v>444</v>
      </c>
    </row>
    <row r="6" spans="1:6" ht="15.75">
      <c r="A6" s="707" t="s">
        <v>408</v>
      </c>
      <c r="B6" s="707"/>
      <c r="C6" s="707"/>
      <c r="D6" s="707"/>
      <c r="E6" s="707"/>
      <c r="F6" s="707"/>
    </row>
    <row r="7" spans="1:6" ht="15.75">
      <c r="A7" s="707"/>
      <c r="B7" s="707"/>
      <c r="C7" s="707"/>
      <c r="D7" s="707"/>
      <c r="E7" s="707"/>
      <c r="F7" s="707"/>
    </row>
    <row r="10" ht="16.5" thickBot="1"/>
    <row r="11" spans="1:6" ht="31.5">
      <c r="A11" s="377" t="s">
        <v>342</v>
      </c>
      <c r="B11" s="378" t="s">
        <v>3</v>
      </c>
      <c r="C11" s="378" t="s">
        <v>4</v>
      </c>
      <c r="D11" s="708" t="s">
        <v>343</v>
      </c>
      <c r="E11" s="709"/>
      <c r="F11" s="379" t="s">
        <v>245</v>
      </c>
    </row>
    <row r="12" spans="1:6" ht="15.75">
      <c r="A12" s="380" t="s">
        <v>274</v>
      </c>
      <c r="B12" s="164">
        <v>921</v>
      </c>
      <c r="C12" s="164">
        <v>92195</v>
      </c>
      <c r="D12" s="289" t="s">
        <v>361</v>
      </c>
      <c r="E12" s="290"/>
      <c r="F12" s="381">
        <v>11800</v>
      </c>
    </row>
    <row r="13" spans="1:6" ht="15.75">
      <c r="A13" s="380" t="s">
        <v>275</v>
      </c>
      <c r="B13" s="164">
        <v>600</v>
      </c>
      <c r="C13" s="164">
        <v>60016</v>
      </c>
      <c r="D13" s="289" t="s">
        <v>307</v>
      </c>
      <c r="E13" s="290"/>
      <c r="F13" s="381">
        <v>6500</v>
      </c>
    </row>
    <row r="14" spans="1:6" ht="15.75">
      <c r="A14" s="382" t="s">
        <v>276</v>
      </c>
      <c r="B14" s="165">
        <v>700</v>
      </c>
      <c r="C14" s="165">
        <v>70095</v>
      </c>
      <c r="D14" s="293" t="s">
        <v>409</v>
      </c>
      <c r="E14" s="294"/>
      <c r="F14" s="495">
        <v>2000</v>
      </c>
    </row>
    <row r="15" spans="2:6" ht="15.75">
      <c r="B15" s="712">
        <v>921</v>
      </c>
      <c r="C15" s="396">
        <v>92195</v>
      </c>
      <c r="D15" s="397" t="s">
        <v>308</v>
      </c>
      <c r="E15" s="398"/>
      <c r="F15" s="399">
        <v>5800</v>
      </c>
    </row>
    <row r="16" spans="1:6" ht="15.75">
      <c r="A16" s="383"/>
      <c r="B16" s="713"/>
      <c r="C16" s="392">
        <v>92105</v>
      </c>
      <c r="D16" s="393" t="s">
        <v>309</v>
      </c>
      <c r="E16" s="394"/>
      <c r="F16" s="395">
        <v>5000</v>
      </c>
    </row>
    <row r="17" spans="1:6" ht="15.75">
      <c r="A17" s="382" t="s">
        <v>277</v>
      </c>
      <c r="B17" s="491">
        <v>700</v>
      </c>
      <c r="C17" s="165">
        <v>70095</v>
      </c>
      <c r="D17" s="293" t="s">
        <v>410</v>
      </c>
      <c r="E17" s="390"/>
      <c r="F17" s="391">
        <v>3500</v>
      </c>
    </row>
    <row r="18" spans="1:6" ht="15.75">
      <c r="A18" s="384"/>
      <c r="B18" s="496">
        <v>921</v>
      </c>
      <c r="C18" s="498">
        <v>92195</v>
      </c>
      <c r="D18" s="499" t="s">
        <v>308</v>
      </c>
      <c r="E18" s="295"/>
      <c r="F18" s="497">
        <v>4000</v>
      </c>
    </row>
    <row r="19" spans="1:6" ht="15.75">
      <c r="A19" s="383"/>
      <c r="B19" s="166"/>
      <c r="C19" s="392">
        <v>92105</v>
      </c>
      <c r="D19" s="393" t="s">
        <v>309</v>
      </c>
      <c r="E19" s="394"/>
      <c r="F19" s="395">
        <v>2500</v>
      </c>
    </row>
    <row r="20" spans="1:6" ht="15.75">
      <c r="A20" s="382" t="s">
        <v>278</v>
      </c>
      <c r="B20" s="715">
        <v>921</v>
      </c>
      <c r="C20" s="388">
        <v>92195</v>
      </c>
      <c r="D20" s="389" t="s">
        <v>308</v>
      </c>
      <c r="E20" s="390"/>
      <c r="F20" s="391">
        <v>3500</v>
      </c>
    </row>
    <row r="21" spans="1:6" ht="15.75">
      <c r="A21" s="384"/>
      <c r="B21" s="716"/>
      <c r="C21" s="396">
        <v>92105</v>
      </c>
      <c r="D21" s="397" t="s">
        <v>309</v>
      </c>
      <c r="E21" s="398"/>
      <c r="F21" s="399">
        <v>1500</v>
      </c>
    </row>
    <row r="22" spans="1:7" ht="15.75">
      <c r="A22" s="383"/>
      <c r="B22" s="392">
        <v>700</v>
      </c>
      <c r="C22" s="392">
        <v>70095</v>
      </c>
      <c r="D22" s="393" t="s">
        <v>411</v>
      </c>
      <c r="E22" s="394"/>
      <c r="F22" s="395">
        <v>7700</v>
      </c>
      <c r="G22" s="291"/>
    </row>
    <row r="23" spans="1:6" ht="15.75">
      <c r="A23" s="382" t="s">
        <v>279</v>
      </c>
      <c r="B23" s="388">
        <v>921</v>
      </c>
      <c r="C23" s="388">
        <v>92195</v>
      </c>
      <c r="D23" s="389" t="s">
        <v>308</v>
      </c>
      <c r="E23" s="390"/>
      <c r="F23" s="391">
        <v>2900</v>
      </c>
    </row>
    <row r="24" spans="1:6" ht="15.75">
      <c r="A24" s="383"/>
      <c r="B24" s="392">
        <v>700</v>
      </c>
      <c r="C24" s="392">
        <v>70095</v>
      </c>
      <c r="D24" s="393" t="s">
        <v>310</v>
      </c>
      <c r="E24" s="394"/>
      <c r="F24" s="395">
        <v>8000</v>
      </c>
    </row>
    <row r="25" spans="1:6" ht="15.75">
      <c r="A25" s="382" t="s">
        <v>280</v>
      </c>
      <c r="B25" s="165">
        <v>921</v>
      </c>
      <c r="C25" s="165">
        <v>92105</v>
      </c>
      <c r="D25" s="499" t="s">
        <v>309</v>
      </c>
      <c r="E25" s="294"/>
      <c r="F25" s="495">
        <v>5000</v>
      </c>
    </row>
    <row r="26" spans="1:6" ht="15.75">
      <c r="A26" s="383"/>
      <c r="B26" s="287"/>
      <c r="C26" s="392">
        <v>92195</v>
      </c>
      <c r="D26" s="393" t="s">
        <v>361</v>
      </c>
      <c r="E26" s="394"/>
      <c r="F26" s="395">
        <v>5700</v>
      </c>
    </row>
    <row r="27" spans="1:6" ht="15.75">
      <c r="A27" s="382" t="s">
        <v>281</v>
      </c>
      <c r="B27" s="714">
        <v>921</v>
      </c>
      <c r="C27" s="388">
        <v>92195</v>
      </c>
      <c r="D27" s="389" t="s">
        <v>412</v>
      </c>
      <c r="E27" s="390"/>
      <c r="F27" s="391">
        <v>6000</v>
      </c>
    </row>
    <row r="28" spans="1:6" ht="15.75">
      <c r="A28" s="383"/>
      <c r="B28" s="713"/>
      <c r="C28" s="392">
        <v>92105</v>
      </c>
      <c r="D28" s="393" t="s">
        <v>309</v>
      </c>
      <c r="E28" s="394"/>
      <c r="F28" s="395">
        <v>1100</v>
      </c>
    </row>
    <row r="29" spans="1:6" ht="15.75">
      <c r="A29" s="382" t="s">
        <v>282</v>
      </c>
      <c r="B29" s="715">
        <v>921</v>
      </c>
      <c r="C29" s="388">
        <v>92195</v>
      </c>
      <c r="D29" s="389" t="s">
        <v>361</v>
      </c>
      <c r="E29" s="390"/>
      <c r="F29" s="391">
        <v>9000</v>
      </c>
    </row>
    <row r="30" spans="1:6" ht="15.75">
      <c r="A30" s="384"/>
      <c r="B30" s="716"/>
      <c r="C30" s="396">
        <v>92105</v>
      </c>
      <c r="D30" s="397" t="s">
        <v>309</v>
      </c>
      <c r="E30" s="398"/>
      <c r="F30" s="399">
        <v>5000</v>
      </c>
    </row>
    <row r="31" spans="1:6" ht="15.75">
      <c r="A31" s="383"/>
      <c r="B31" s="392">
        <v>700</v>
      </c>
      <c r="C31" s="392">
        <v>70095</v>
      </c>
      <c r="D31" s="393" t="s">
        <v>311</v>
      </c>
      <c r="E31" s="394"/>
      <c r="F31" s="395">
        <v>4500</v>
      </c>
    </row>
    <row r="32" spans="1:6" ht="15.75">
      <c r="A32" s="382" t="s">
        <v>283</v>
      </c>
      <c r="B32" s="165">
        <v>921</v>
      </c>
      <c r="C32" s="165">
        <v>92105</v>
      </c>
      <c r="D32" s="397" t="s">
        <v>309</v>
      </c>
      <c r="E32" s="294"/>
      <c r="F32" s="495">
        <v>1000</v>
      </c>
    </row>
    <row r="33" spans="1:6" ht="15.75">
      <c r="A33" s="383"/>
      <c r="B33" s="287"/>
      <c r="C33" s="392">
        <v>92195</v>
      </c>
      <c r="D33" s="393" t="s">
        <v>361</v>
      </c>
      <c r="E33" s="394"/>
      <c r="F33" s="395">
        <v>5800</v>
      </c>
    </row>
    <row r="34" spans="1:6" ht="15.75">
      <c r="A34" s="382" t="s">
        <v>284</v>
      </c>
      <c r="B34" s="167">
        <v>700</v>
      </c>
      <c r="C34" s="167">
        <v>70095</v>
      </c>
      <c r="D34" s="292" t="s">
        <v>413</v>
      </c>
      <c r="E34" s="295"/>
      <c r="F34" s="497">
        <v>6000</v>
      </c>
    </row>
    <row r="35" spans="2:6" ht="15.75">
      <c r="B35" s="712">
        <v>921</v>
      </c>
      <c r="C35" s="396">
        <v>92195</v>
      </c>
      <c r="D35" s="397" t="s">
        <v>361</v>
      </c>
      <c r="E35" s="398"/>
      <c r="F35" s="399">
        <v>6000</v>
      </c>
    </row>
    <row r="36" spans="1:7" ht="15.75">
      <c r="A36" s="383"/>
      <c r="B36" s="713"/>
      <c r="C36" s="392">
        <v>92105</v>
      </c>
      <c r="D36" s="393" t="s">
        <v>309</v>
      </c>
      <c r="E36" s="394"/>
      <c r="F36" s="395">
        <v>9800</v>
      </c>
      <c r="G36" s="291"/>
    </row>
    <row r="37" spans="1:6" ht="15.75">
      <c r="A37" s="382" t="s">
        <v>285</v>
      </c>
      <c r="B37" s="714">
        <v>921</v>
      </c>
      <c r="C37" s="388">
        <v>92195</v>
      </c>
      <c r="D37" s="389" t="s">
        <v>361</v>
      </c>
      <c r="E37" s="390"/>
      <c r="F37" s="391">
        <v>16200</v>
      </c>
    </row>
    <row r="38" spans="1:6" ht="15.75">
      <c r="A38" s="383"/>
      <c r="B38" s="713"/>
      <c r="C38" s="392">
        <v>92105</v>
      </c>
      <c r="D38" s="393" t="s">
        <v>309</v>
      </c>
      <c r="E38" s="394"/>
      <c r="F38" s="395">
        <v>5600</v>
      </c>
    </row>
    <row r="39" spans="1:6" ht="15.75">
      <c r="A39" s="382" t="s">
        <v>286</v>
      </c>
      <c r="B39" s="388">
        <v>921</v>
      </c>
      <c r="C39" s="388">
        <v>92105</v>
      </c>
      <c r="D39" s="389" t="s">
        <v>309</v>
      </c>
      <c r="E39" s="390"/>
      <c r="F39" s="391">
        <v>3000</v>
      </c>
    </row>
    <row r="40" spans="1:6" ht="15.75">
      <c r="A40" s="384"/>
      <c r="B40" s="167">
        <v>921</v>
      </c>
      <c r="C40" s="167">
        <v>92195</v>
      </c>
      <c r="D40" s="292" t="s">
        <v>361</v>
      </c>
      <c r="E40" s="295"/>
      <c r="F40" s="497">
        <v>2000</v>
      </c>
    </row>
    <row r="41" spans="1:6" ht="15.75">
      <c r="A41" s="383"/>
      <c r="B41" s="392">
        <v>700</v>
      </c>
      <c r="C41" s="392">
        <v>70095</v>
      </c>
      <c r="D41" s="393" t="s">
        <v>312</v>
      </c>
      <c r="E41" s="394"/>
      <c r="F41" s="395">
        <v>5000</v>
      </c>
    </row>
    <row r="42" spans="1:6" ht="15.75">
      <c r="A42" s="382" t="s">
        <v>287</v>
      </c>
      <c r="B42" s="491">
        <v>921</v>
      </c>
      <c r="C42" s="388">
        <v>92195</v>
      </c>
      <c r="D42" s="389" t="s">
        <v>308</v>
      </c>
      <c r="E42" s="390"/>
      <c r="F42" s="391">
        <v>1200</v>
      </c>
    </row>
    <row r="43" spans="1:6" ht="15.75">
      <c r="A43" s="384"/>
      <c r="B43" s="712">
        <v>700</v>
      </c>
      <c r="C43" s="498">
        <v>70095</v>
      </c>
      <c r="D43" s="499" t="s">
        <v>312</v>
      </c>
      <c r="E43" s="500"/>
      <c r="F43" s="501">
        <v>4800</v>
      </c>
    </row>
    <row r="44" spans="1:6" ht="15.75">
      <c r="A44" s="383"/>
      <c r="B44" s="713"/>
      <c r="C44" s="392">
        <v>70095</v>
      </c>
      <c r="D44" s="393" t="s">
        <v>313</v>
      </c>
      <c r="E44" s="394"/>
      <c r="F44" s="395">
        <v>8100</v>
      </c>
    </row>
    <row r="45" spans="1:6" ht="16.5" thickBot="1">
      <c r="A45" s="382" t="s">
        <v>288</v>
      </c>
      <c r="B45" s="165">
        <v>921</v>
      </c>
      <c r="C45" s="164">
        <v>92195</v>
      </c>
      <c r="D45" s="289" t="s">
        <v>308</v>
      </c>
      <c r="E45" s="290"/>
      <c r="F45" s="381">
        <v>21800</v>
      </c>
    </row>
    <row r="46" spans="1:6" ht="16.5" thickBot="1">
      <c r="A46" s="386"/>
      <c r="B46" s="387"/>
      <c r="C46" s="710" t="s">
        <v>314</v>
      </c>
      <c r="D46" s="710"/>
      <c r="E46" s="711"/>
      <c r="F46" s="385">
        <f>SUM(F12:F45)</f>
        <v>197300</v>
      </c>
    </row>
    <row r="61" ht="15.75">
      <c r="A61" s="288"/>
    </row>
    <row r="62" ht="15.75">
      <c r="A62" s="375"/>
    </row>
    <row r="63" spans="1:3" ht="15.75">
      <c r="A63" s="376"/>
      <c r="B63" s="163"/>
      <c r="C63" s="163"/>
    </row>
    <row r="64" spans="1:2" ht="15.75">
      <c r="A64" s="297"/>
      <c r="B64" s="159" t="e">
        <f>+#REF!-#REF!</f>
        <v>#REF!</v>
      </c>
    </row>
    <row r="65" spans="1:2" ht="15.75">
      <c r="A65" s="297"/>
      <c r="B65" s="159"/>
    </row>
    <row r="66" spans="1:2" ht="15.75">
      <c r="A66" s="297"/>
      <c r="B66" s="159"/>
    </row>
    <row r="67" spans="1:2" ht="15.75">
      <c r="A67" s="297"/>
      <c r="B67" s="159"/>
    </row>
    <row r="68" spans="1:2" ht="15.75">
      <c r="A68" s="297"/>
      <c r="B68" s="159"/>
    </row>
    <row r="69" spans="1:2" ht="15.75">
      <c r="A69" s="297"/>
      <c r="B69" s="159" t="e">
        <f>+#REF!-#REF!</f>
        <v>#REF!</v>
      </c>
    </row>
    <row r="70" spans="1:2" ht="15.75">
      <c r="A70" s="297"/>
      <c r="B70" s="159"/>
    </row>
    <row r="71" spans="1:2" ht="15.75">
      <c r="A71" s="297"/>
      <c r="B71" s="159" t="e">
        <f>+#REF!-#REF!</f>
        <v>#REF!</v>
      </c>
    </row>
    <row r="72" spans="1:2" ht="15.75">
      <c r="A72" s="297"/>
      <c r="B72" s="159"/>
    </row>
    <row r="73" spans="1:2" ht="15.75">
      <c r="A73" s="297"/>
      <c r="B73" s="159"/>
    </row>
    <row r="74" spans="1:2" ht="15.75">
      <c r="A74" s="297"/>
      <c r="B74" s="159"/>
    </row>
    <row r="75" spans="1:2" ht="15.75">
      <c r="A75" s="297"/>
      <c r="B75" s="159" t="e">
        <f>+#REF!-#REF!</f>
        <v>#REF!</v>
      </c>
    </row>
    <row r="76" spans="1:2" ht="15.75">
      <c r="A76" s="297"/>
      <c r="B76" s="159"/>
    </row>
    <row r="77" spans="1:2" ht="15.75">
      <c r="A77" s="297"/>
      <c r="B77" s="159"/>
    </row>
    <row r="78" spans="1:2" ht="15.75">
      <c r="A78" s="297"/>
      <c r="B78" s="159"/>
    </row>
    <row r="79" spans="1:2" ht="15.75">
      <c r="A79" s="297"/>
      <c r="B79" s="159"/>
    </row>
    <row r="80" spans="1:2" ht="15.75">
      <c r="A80" s="297"/>
      <c r="B80" s="159" t="e">
        <f>+#REF!-#REF!</f>
        <v>#REF!</v>
      </c>
    </row>
    <row r="81" spans="1:2" ht="15.75">
      <c r="A81" s="297"/>
      <c r="B81" s="159"/>
    </row>
    <row r="82" spans="1:2" ht="15.75">
      <c r="A82" s="297"/>
      <c r="B82" s="159"/>
    </row>
    <row r="83" spans="1:2" ht="15.75">
      <c r="A83" s="297"/>
      <c r="B83" s="159"/>
    </row>
    <row r="84" spans="1:2" ht="15.75">
      <c r="A84" s="297"/>
      <c r="B84" s="159"/>
    </row>
    <row r="85" spans="1:2" ht="15.75">
      <c r="A85" s="297"/>
      <c r="B85" s="159" t="e">
        <f>+#REF!-#REF!</f>
        <v>#REF!</v>
      </c>
    </row>
    <row r="86" spans="1:2" ht="15.75">
      <c r="A86" s="297"/>
      <c r="B86" s="159"/>
    </row>
    <row r="87" spans="1:2" ht="15.75">
      <c r="A87" s="297"/>
      <c r="B87" s="159"/>
    </row>
    <row r="88" spans="1:2" ht="15.75">
      <c r="A88" s="297"/>
      <c r="B88" s="159"/>
    </row>
    <row r="89" spans="1:2" ht="15.75">
      <c r="A89" s="297"/>
      <c r="B89" s="159"/>
    </row>
    <row r="90" spans="1:2" ht="15.75">
      <c r="A90" s="297"/>
      <c r="B90" s="159" t="e">
        <f>+#REF!-#REF!</f>
        <v>#REF!</v>
      </c>
    </row>
    <row r="91" spans="1:2" ht="15.75">
      <c r="A91" s="297"/>
      <c r="B91" s="159"/>
    </row>
    <row r="92" spans="1:2" ht="15.75">
      <c r="A92" s="297"/>
      <c r="B92" s="159"/>
    </row>
    <row r="93" spans="1:2" ht="15.75">
      <c r="A93" s="297"/>
      <c r="B93" s="159"/>
    </row>
    <row r="94" spans="1:2" ht="15.75">
      <c r="A94" s="297"/>
      <c r="B94" s="159" t="e">
        <f>+#REF!-#REF!</f>
        <v>#REF!</v>
      </c>
    </row>
    <row r="95" spans="1:2" ht="15.75">
      <c r="A95" s="297"/>
      <c r="B95" s="159"/>
    </row>
    <row r="96" spans="1:2" ht="15.75">
      <c r="A96" s="297"/>
      <c r="B96" s="159"/>
    </row>
    <row r="97" spans="1:2" ht="15.75">
      <c r="A97" s="297"/>
      <c r="B97" s="159" t="e">
        <f>+#REF!-#REF!</f>
        <v>#REF!</v>
      </c>
    </row>
    <row r="98" spans="1:2" ht="15.75">
      <c r="A98" s="297"/>
      <c r="B98" s="159"/>
    </row>
    <row r="99" spans="1:2" ht="15.75">
      <c r="A99" s="297"/>
      <c r="B99" s="159"/>
    </row>
    <row r="100" spans="1:2" ht="15.75">
      <c r="A100" s="297"/>
      <c r="B100" s="159"/>
    </row>
    <row r="101" spans="1:2" ht="15.75">
      <c r="A101" s="297"/>
      <c r="B101" s="159"/>
    </row>
    <row r="102" spans="1:2" ht="15.75">
      <c r="A102" s="297"/>
      <c r="B102" s="159" t="e">
        <f>+#REF!-#REF!</f>
        <v>#REF!</v>
      </c>
    </row>
    <row r="103" spans="1:2" ht="15.75">
      <c r="A103" s="297"/>
      <c r="B103" s="159"/>
    </row>
    <row r="104" spans="1:2" ht="15.75">
      <c r="A104" s="297"/>
      <c r="B104" s="159"/>
    </row>
    <row r="105" spans="1:2" ht="15.75">
      <c r="A105" s="297"/>
      <c r="B105" s="159"/>
    </row>
    <row r="106" spans="1:2" ht="15.75">
      <c r="A106" s="297"/>
      <c r="B106" s="159" t="e">
        <f>+#REF!-#REF!</f>
        <v>#REF!</v>
      </c>
    </row>
    <row r="107" spans="1:2" ht="15.75">
      <c r="A107" s="297"/>
      <c r="B107" s="159"/>
    </row>
    <row r="108" spans="1:2" ht="15.75">
      <c r="A108" s="297"/>
      <c r="B108" s="159"/>
    </row>
    <row r="109" spans="1:2" ht="15.75">
      <c r="A109" s="297"/>
      <c r="B109" s="159"/>
    </row>
    <row r="110" spans="1:2" ht="15.75">
      <c r="A110" s="297"/>
      <c r="B110" s="159"/>
    </row>
    <row r="111" spans="1:2" ht="15.75">
      <c r="A111" s="297"/>
      <c r="B111" s="159" t="e">
        <f>+#REF!-#REF!</f>
        <v>#REF!</v>
      </c>
    </row>
    <row r="112" spans="1:2" ht="15.75">
      <c r="A112" s="297"/>
      <c r="B112" s="159"/>
    </row>
    <row r="113" spans="1:2" ht="15.75">
      <c r="A113" s="297"/>
      <c r="B113" s="159"/>
    </row>
    <row r="114" spans="1:2" ht="15.75">
      <c r="A114" s="297"/>
      <c r="B114" s="159"/>
    </row>
    <row r="115" spans="1:2" ht="15.75">
      <c r="A115" s="297"/>
      <c r="B115" s="159"/>
    </row>
    <row r="116" spans="1:2" ht="15.75">
      <c r="A116" s="297"/>
      <c r="B116" s="159" t="e">
        <f>+#REF!-#REF!</f>
        <v>#REF!</v>
      </c>
    </row>
    <row r="117" spans="1:2" ht="15.75">
      <c r="A117" s="297"/>
      <c r="B117" s="159"/>
    </row>
    <row r="118" spans="1:2" ht="15.75">
      <c r="A118" s="297"/>
      <c r="B118" s="159"/>
    </row>
    <row r="119" spans="1:2" ht="15.75">
      <c r="A119" s="297"/>
      <c r="B119" s="159"/>
    </row>
    <row r="120" spans="1:2" ht="15.75">
      <c r="A120" s="297"/>
      <c r="B120" s="159"/>
    </row>
    <row r="121" spans="1:2" ht="15.75">
      <c r="A121" s="297"/>
      <c r="B121" s="159" t="e">
        <f>+#REF!-#REF!</f>
        <v>#REF!</v>
      </c>
    </row>
    <row r="122" spans="1:2" ht="15.75">
      <c r="A122" s="297"/>
      <c r="B122" s="159"/>
    </row>
    <row r="123" spans="1:2" ht="15.75">
      <c r="A123" s="297"/>
      <c r="B123" s="159"/>
    </row>
    <row r="124" spans="1:2" ht="15.75">
      <c r="A124" s="297"/>
      <c r="B124" s="159"/>
    </row>
    <row r="125" spans="1:2" ht="15.75">
      <c r="A125" s="297"/>
      <c r="B125" s="159"/>
    </row>
    <row r="126" spans="1:2" ht="15.75">
      <c r="A126" s="297"/>
      <c r="B126" s="159" t="e">
        <f>+#REF!-#REF!</f>
        <v>#REF!</v>
      </c>
    </row>
    <row r="127" spans="1:2" ht="15.75">
      <c r="A127" s="297"/>
      <c r="B127" s="159"/>
    </row>
    <row r="128" spans="1:2" ht="15.75">
      <c r="A128" s="297"/>
      <c r="B128" s="159"/>
    </row>
    <row r="129" spans="1:2" ht="15.75">
      <c r="A129" s="297"/>
      <c r="B129" s="159"/>
    </row>
    <row r="130" spans="1:2" ht="15.75">
      <c r="A130" s="297"/>
      <c r="B130" s="159"/>
    </row>
    <row r="131" spans="1:2" ht="15.75">
      <c r="A131" s="296"/>
      <c r="B131" s="160" t="e">
        <f>+#REF!-#REF!</f>
        <v>#REF!</v>
      </c>
    </row>
  </sheetData>
  <mergeCells count="10">
    <mergeCell ref="A6:F7"/>
    <mergeCell ref="D11:E11"/>
    <mergeCell ref="C46:E46"/>
    <mergeCell ref="B35:B36"/>
    <mergeCell ref="B37:B38"/>
    <mergeCell ref="B15:B16"/>
    <mergeCell ref="B20:B21"/>
    <mergeCell ref="B27:B28"/>
    <mergeCell ref="B43:B44"/>
    <mergeCell ref="B29:B30"/>
  </mergeCells>
  <printOptions horizontalCentered="1"/>
  <pageMargins left="0.31496062992125984" right="0.3937007874015748" top="0.4724409448818898" bottom="0.3937007874015748" header="0.2755905511811024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StanisK</cp:lastModifiedBy>
  <cp:lastPrinted>2011-03-01T10:14:08Z</cp:lastPrinted>
  <dcterms:created xsi:type="dcterms:W3CDTF">1998-12-09T13:02:10Z</dcterms:created>
  <dcterms:modified xsi:type="dcterms:W3CDTF">2011-03-02T11:48:58Z</dcterms:modified>
  <cp:category/>
  <cp:version/>
  <cp:contentType/>
  <cp:contentStatus/>
</cp:coreProperties>
</file>