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5" windowWidth="15480" windowHeight="6585" activeTab="0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</sheets>
  <definedNames>
    <definedName name="_xlnm.Print_Area" localSheetId="0">'1'!$A$1:$G$80</definedName>
    <definedName name="_xlnm.Print_Area" localSheetId="10">'10'!$A$1:$F$16</definedName>
    <definedName name="_xlnm.Print_Area" localSheetId="13">'13'!$A$1:$M$37</definedName>
    <definedName name="_xlnm.Print_Area" localSheetId="1">'2'!$A$1:$L$295</definedName>
    <definedName name="_xlnm.Print_Area" localSheetId="2">'3'!$A$1:$N$43</definedName>
    <definedName name="_xlnm.Print_Area" localSheetId="4">'4'!$A$1:$Q$84</definedName>
    <definedName name="_xlnm.Print_Area" localSheetId="8">'8'!$A$1:$K$36</definedName>
    <definedName name="_xlnm.Print_Titles" localSheetId="0">'1'!$10:$11</definedName>
    <definedName name="_xlnm.Print_Titles" localSheetId="1">'2'!$7:$10</definedName>
    <definedName name="_xlnm.Print_Titles" localSheetId="2">'3'!$8:$13</definedName>
    <definedName name="_xlnm.Print_Titles" localSheetId="3">'3a'!$7:$12</definedName>
    <definedName name="_xlnm.Print_Titles" localSheetId="4">'4'!$8:$13</definedName>
  </definedNames>
  <calcPr fullCalcOnLoad="1"/>
</workbook>
</file>

<file path=xl/sharedStrings.xml><?xml version="1.0" encoding="utf-8"?>
<sst xmlns="http://schemas.openxmlformats.org/spreadsheetml/2006/main" count="1157" uniqueCount="718">
  <si>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</si>
  <si>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</si>
  <si>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</si>
  <si>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</si>
  <si>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</si>
  <si>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</si>
  <si>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</si>
  <si>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</si>
  <si>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</si>
  <si>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</si>
  <si>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</si>
  <si>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</si>
  <si>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</si>
  <si>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</si>
  <si>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</si>
  <si>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</si>
  <si>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</si>
  <si>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</si>
  <si>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</si>
  <si>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</si>
  <si>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</si>
  <si>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</si>
  <si>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</si>
  <si>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</si>
  <si>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</si>
  <si>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</si>
  <si>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</si>
  <si>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</si>
  <si>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</si>
  <si>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</si>
  <si>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</si>
  <si>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</si>
  <si>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</si>
  <si>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</si>
  <si>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</si>
  <si>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</si>
  <si>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</si>
  <si>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</si>
  <si>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</si>
  <si>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</si>
  <si>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</si>
  <si>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</si>
  <si>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</si>
  <si>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</si>
  <si>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</si>
  <si>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</si>
  <si>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</si>
  <si>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</si>
  <si>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</si>
  <si>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</si>
  <si>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</si>
  <si>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</si>
  <si>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</si>
  <si>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</si>
  <si>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</si>
  <si>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</si>
  <si>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</si>
  <si>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</si>
  <si>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</si>
  <si>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</si>
  <si>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</si>
  <si>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2009 r.</t>
  </si>
  <si>
    <t>Plan przychodów i wydatków zakładów budżetowych, gospodarstw pomocniczych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</si>
  <si>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</si>
  <si>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</si>
  <si>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</si>
  <si>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</si>
  <si>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</si>
  <si>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</si>
  <si>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</si>
  <si>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</si>
  <si>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</si>
  <si>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</si>
  <si>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</si>
  <si>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Nazwa jednostki
 otrzymującej dotację</t>
  </si>
  <si>
    <t>Zakres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</si>
  <si>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</si>
  <si>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</si>
  <si>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</si>
  <si>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</si>
  <si>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</si>
  <si>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</si>
  <si>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</si>
  <si>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</si>
  <si>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</si>
  <si>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</si>
  <si>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</si>
  <si>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</si>
  <si>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</si>
  <si>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</si>
  <si>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</si>
  <si>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</si>
  <si>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Razem wydatki:</t>
  </si>
  <si>
    <t>1.2</t>
  </si>
  <si>
    <t>1.3</t>
  </si>
  <si>
    <t>...............</t>
  </si>
  <si>
    <t>2.1</t>
  </si>
  <si>
    <t>2.2</t>
  </si>
  <si>
    <t>* wydatki obejmują wydatki bieżące i majątkowe (dotyczące inwestycji rocznych i ujętych w wieloletnim programie inwestycyjnym)</t>
  </si>
  <si>
    <t>Dotacje</t>
  </si>
  <si>
    <t>Wynagro-
dzenia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</si>
  <si>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</si>
  <si>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</si>
  <si>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</si>
  <si>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</si>
  <si>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</si>
  <si>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</si>
  <si>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</si>
  <si>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</si>
  <si>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Relacje do dochodów (w %):</t>
  </si>
  <si>
    <t>Kwota długu na dzień 31.12.2006</t>
  </si>
  <si>
    <t>wynagrodzenia</t>
  </si>
  <si>
    <t>pochodne od wynagrodzeń</t>
  </si>
  <si>
    <t>Wydatki
bieżące</t>
  </si>
  <si>
    <t>Wydatki
majątkowe</t>
  </si>
  <si>
    <t>Dotacje
ogółem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</si>
  <si>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</si>
  <si>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</si>
  <si>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</si>
  <si>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</si>
  <si>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</si>
  <si>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</si>
  <si>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</si>
  <si>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</si>
  <si>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</si>
  <si>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</si>
  <si>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</si>
  <si>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</si>
  <si>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Prognozowany wynik finansowy</t>
  </si>
  <si>
    <t>Łączne koszty finansowe</t>
  </si>
  <si>
    <t>Źródło dochodów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</si>
  <si>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</si>
  <si>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</si>
  <si>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</si>
  <si>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</si>
  <si>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</si>
  <si>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</si>
  <si>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</si>
  <si>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</si>
  <si>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 xml:space="preserve">§ 944 </t>
  </si>
  <si>
    <t>Wydatki
ogółem
(6+10)</t>
  </si>
  <si>
    <t>świadczenia społeczne</t>
  </si>
  <si>
    <t>Dochody własne jednostek budżetowych</t>
  </si>
  <si>
    <t>na inwestycje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</si>
  <si>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</si>
  <si>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</si>
  <si>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</si>
  <si>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</si>
  <si>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</si>
  <si>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</si>
  <si>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</si>
  <si>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Papiery wartościowe (obligacje)</t>
  </si>
  <si>
    <t>Wykup papierów wartościowych (obligacji)</t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</si>
  <si>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</si>
  <si>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</si>
  <si>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</si>
  <si>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</si>
  <si>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</si>
  <si>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</si>
  <si>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</si>
  <si>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</si>
  <si>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</si>
  <si>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</si>
  <si>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</si>
  <si>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</si>
  <si>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</si>
  <si>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</si>
  <si>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</si>
  <si>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</si>
  <si>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</si>
  <si>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</si>
  <si>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</si>
  <si>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</si>
  <si>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</si>
  <si>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</si>
  <si>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</si>
  <si>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</si>
  <si>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</si>
  <si>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</si>
  <si>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</si>
  <si>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t>z tego źródła finansowania</t>
  </si>
  <si>
    <t>Klasyfikacja (dział, rozdział,
paragraf)</t>
  </si>
  <si>
    <t>środki pochodzące
 z innych  źródeł*</t>
  </si>
  <si>
    <t>O690</t>
  </si>
  <si>
    <t>700 Gospodarka mieszkaniowa</t>
  </si>
  <si>
    <t>O470</t>
  </si>
  <si>
    <t>wpływy za zarząd , użytkowanie i użytkowanie wieczyste nieruchomości</t>
  </si>
  <si>
    <t>O490</t>
  </si>
  <si>
    <t>O750</t>
  </si>
  <si>
    <t xml:space="preserve">dochody z najmu i dzierżawy składników majątkowych jednostek samorządu terytorialnego, w tym : </t>
  </si>
  <si>
    <t>najem lokali mieszkalnych</t>
  </si>
  <si>
    <t xml:space="preserve">najem lokali użytkowych </t>
  </si>
  <si>
    <t xml:space="preserve">dzierżawa gruntów </t>
  </si>
  <si>
    <t>O760</t>
  </si>
  <si>
    <t>O870</t>
  </si>
  <si>
    <t xml:space="preserve">sprzedaż mieszkań </t>
  </si>
  <si>
    <t>Rady Miejskiej w Jelczu-Laskowicach</t>
  </si>
  <si>
    <t>O020</t>
  </si>
  <si>
    <t>pozostałe odsetki</t>
  </si>
  <si>
    <t>wpływy z różnych opłat ( koszty upomnień i inne )</t>
  </si>
  <si>
    <t>O970</t>
  </si>
  <si>
    <t xml:space="preserve">wpływy z różnych dochodów </t>
  </si>
  <si>
    <t>dochody związane z realizacją zadań z zakresu administracji rządowej (należność na pobieranie opłat za dowody osobiste)</t>
  </si>
  <si>
    <t>O920</t>
  </si>
  <si>
    <t>O350</t>
  </si>
  <si>
    <t>O910</t>
  </si>
  <si>
    <t>odsetki od nieterminowych wpłat z tytułu podatków i opłat</t>
  </si>
  <si>
    <t>O310</t>
  </si>
  <si>
    <t>podatek od nieruchomości</t>
  </si>
  <si>
    <t>O320</t>
  </si>
  <si>
    <t>podatek rolny</t>
  </si>
  <si>
    <t>O330</t>
  </si>
  <si>
    <t>O340</t>
  </si>
  <si>
    <t xml:space="preserve">podatek od środków transportowych </t>
  </si>
  <si>
    <t>O500</t>
  </si>
  <si>
    <t>podatek od czynności cywilnoprawnych</t>
  </si>
  <si>
    <t>O360</t>
  </si>
  <si>
    <t>podatek od spadków i darowizn</t>
  </si>
  <si>
    <t>O430</t>
  </si>
  <si>
    <t>wpływy z opłaty targowej</t>
  </si>
  <si>
    <t xml:space="preserve">podatek od czynności cywilnoprawnych </t>
  </si>
  <si>
    <t xml:space="preserve">O910 </t>
  </si>
  <si>
    <t>O410</t>
  </si>
  <si>
    <t>wpływy z opłaty skarbowej</t>
  </si>
  <si>
    <t>O480</t>
  </si>
  <si>
    <t>O010</t>
  </si>
  <si>
    <t xml:space="preserve">podatek dochodowy od osób fizycznych </t>
  </si>
  <si>
    <t xml:space="preserve">podatek dochodowy od osób prawnych </t>
  </si>
  <si>
    <t xml:space="preserve">758 Różne rozliczenia </t>
  </si>
  <si>
    <t xml:space="preserve">                      S U B W E N C J E </t>
  </si>
  <si>
    <t xml:space="preserve">pozostałe odsetki  - odsetki na rachunkach bankowych </t>
  </si>
  <si>
    <t xml:space="preserve">subwencje ogólne z budżetu państwa - część równoważąca </t>
  </si>
  <si>
    <t xml:space="preserve">852 Pomoc społeczna </t>
  </si>
  <si>
    <t>O830</t>
  </si>
  <si>
    <t xml:space="preserve">wpływy z usług opiekuńczych </t>
  </si>
  <si>
    <t>DOTACJE NA ZADANIA ZLECONE Z ZAKRESU ADMINISTRACJI RZĄDOWEJ</t>
  </si>
  <si>
    <t xml:space="preserve">750 Administracja publiczna </t>
  </si>
  <si>
    <t>752 Obrona narodowa</t>
  </si>
  <si>
    <t>754 Bezpieczeństwo publiczne i ochrona p.pożarowa</t>
  </si>
  <si>
    <t xml:space="preserve">subwencje ogólne z budżetu  państwa - część oświatowa </t>
  </si>
  <si>
    <t>DOTACJE Z BUDŻETU PAŃSTWA NA ZADANIA WŁASNE</t>
  </si>
  <si>
    <t>DOFINANSOWANIE ZE ŚRODKÓW ZPORR</t>
  </si>
  <si>
    <t xml:space="preserve">900 Gospodarka komunalna i ochrona środowiska </t>
  </si>
  <si>
    <t>wpływy z opłat za zezwolenia na sprzedaż alkoholu</t>
  </si>
  <si>
    <t>dotacje celowe otrzymane z budżetu państwa na realizację zadań bieżących z zakresu administracji rządowej - dofin. do kosztów wynagrodzenia</t>
  </si>
  <si>
    <t>dotacje celowe otrzymane z budżetu państwa na realizację zadań bieżących z zakresu administracji rządowej-dofin. kosztów GZR</t>
  </si>
  <si>
    <t xml:space="preserve">dotacje celowe otrzymane z budżetu państwa na realizację zadań bieżących z zakresu administracji rządowej -  składki na ubezpieczenia zdrowotne </t>
  </si>
  <si>
    <t>dotacje celowe otrzymane z budżetu państwa na realizację zadań bieżących z zakresu administracji rządowej na zasiłki i pomoc w naturze</t>
  </si>
  <si>
    <t>dotacja z budżetu państwa na realizację własnych zadań - zasiłki i pomoc w naturze</t>
  </si>
  <si>
    <t>dotacja z budżetu państwa na realizację własnych zadań - dofin. do kosztów utrzymania MGOPS</t>
  </si>
  <si>
    <t xml:space="preserve">dotacja z budżetu państwa na realizację własnych zadań - pomoc w zakresie dożywiania </t>
  </si>
  <si>
    <t xml:space="preserve">dotacje celowe otrzymane z budżetu państwa na realizację zadań bieżących z zakresu administracji rządowej finansowanie zasiłków rodzinnych i zaliczki alimentacyjnej </t>
  </si>
  <si>
    <t>Rolnictwo i łowiectwo</t>
  </si>
  <si>
    <t>Melioracje wodne</t>
  </si>
  <si>
    <t>składki na rzecz spółek wodnych</t>
  </si>
  <si>
    <t>O1008</t>
  </si>
  <si>
    <t>O1030</t>
  </si>
  <si>
    <t xml:space="preserve">Izby rolnicze </t>
  </si>
  <si>
    <t>wpłaty gmin na rzecz izb rolniczych</t>
  </si>
  <si>
    <t>Transport i łączność</t>
  </si>
  <si>
    <t xml:space="preserve">zakup usług komunikacji miejskiej </t>
  </si>
  <si>
    <t>Lokalny transport zbiorowy</t>
  </si>
  <si>
    <t>Drogi publiczne gminne</t>
  </si>
  <si>
    <t>DOCHODY OGÓŁEM</t>
  </si>
  <si>
    <t>remont nawierzchni dróg i ulic</t>
  </si>
  <si>
    <t>rekultywacja dróg gminnych</t>
  </si>
  <si>
    <t>oznakowanie poziome i pionowe</t>
  </si>
  <si>
    <t>utrzymanie dróg w okresie zimy</t>
  </si>
  <si>
    <t>podatek od działalności gospodarczej osób fizycznych opłacany w formie karty podatkowej</t>
  </si>
  <si>
    <t>Gospodarka mieszkaniowa</t>
  </si>
  <si>
    <t>opracowanie planów zagospodarowania przestrzennego</t>
  </si>
  <si>
    <t xml:space="preserve">Gospodarka  gruntami i nieruchomościami </t>
  </si>
  <si>
    <t>podziały geodezyjne</t>
  </si>
  <si>
    <t xml:space="preserve">usługi geodezyjne </t>
  </si>
  <si>
    <t xml:space="preserve">wyceny nieruchomości </t>
  </si>
  <si>
    <t>przygotowanie gruntów do sprzedaży</t>
  </si>
  <si>
    <t>opłaty za wyłączenie gruntów z produkcji rolnej</t>
  </si>
  <si>
    <t>opłaty za użytkowanie wieczyste</t>
  </si>
  <si>
    <t>Pozostała działalność</t>
  </si>
  <si>
    <t>remonty gminnych zasobów mieszkaniowych</t>
  </si>
  <si>
    <t>koszty utrzymania zasobów mieszkaniowych</t>
  </si>
  <si>
    <t xml:space="preserve">remonty wiat przystankowych </t>
  </si>
  <si>
    <t xml:space="preserve">wpłaty na fundusz remontowy wspólnot </t>
  </si>
  <si>
    <t>wydatki inwestycyjne :</t>
  </si>
  <si>
    <t>zakup urządzeń na wyposażenie placów zabaw</t>
  </si>
  <si>
    <t xml:space="preserve">Administracja publiczna </t>
  </si>
  <si>
    <t>Rady gmin( miast i miast na prawach powiatu)</t>
  </si>
  <si>
    <t xml:space="preserve">diety radnych </t>
  </si>
  <si>
    <t>pozostałe koszty utrzymania Biura RM</t>
  </si>
  <si>
    <t>Urzędy gmin ( miast i miast na prawach powiatu)</t>
  </si>
  <si>
    <t xml:space="preserve">koszty utrzymania Urzędu M i G </t>
  </si>
  <si>
    <t xml:space="preserve">komputeryzacja Urzędu M i G </t>
  </si>
  <si>
    <t>Promocja jednostek samorządu terytorialnego</t>
  </si>
  <si>
    <t xml:space="preserve">koszty  promocji gminy </t>
  </si>
  <si>
    <t xml:space="preserve">koszty poboru podatków </t>
  </si>
  <si>
    <t>Obsługa długu publicznego</t>
  </si>
  <si>
    <t xml:space="preserve">Obsługa papierów wartościowych, kredytów i pożyczek </t>
  </si>
  <si>
    <t>odsetki od kredytu z BOŚ</t>
  </si>
  <si>
    <t>odsetki od pożyczki z WFOŚ i GW</t>
  </si>
  <si>
    <t xml:space="preserve">Różne rozliczenia </t>
  </si>
  <si>
    <t>Rezerwy ogólne i celowe</t>
  </si>
  <si>
    <t xml:space="preserve">rezerwa na zadania oświatowe </t>
  </si>
  <si>
    <t xml:space="preserve">rezerwa na wspieranie inicjatyw samorządów wsi i osiedli </t>
  </si>
  <si>
    <t xml:space="preserve">Oświata i wychowanie </t>
  </si>
  <si>
    <t>Szkoły podstawowe</t>
  </si>
  <si>
    <t xml:space="preserve">koszty utrzymania szkół podstawowych </t>
  </si>
  <si>
    <t xml:space="preserve">w tym : </t>
  </si>
  <si>
    <t>PSP 3</t>
  </si>
  <si>
    <t xml:space="preserve">PSP Minkowice </t>
  </si>
  <si>
    <t xml:space="preserve">PSP Miłoszyce </t>
  </si>
  <si>
    <t>PSP Wójcice</t>
  </si>
  <si>
    <t xml:space="preserve">Oddziały przedszkolne w szkołach podstawowych </t>
  </si>
  <si>
    <t xml:space="preserve">PSP 2 </t>
  </si>
  <si>
    <t xml:space="preserve">PSP 3 </t>
  </si>
  <si>
    <t xml:space="preserve">Gimnazja </t>
  </si>
  <si>
    <t xml:space="preserve">w tym: </t>
  </si>
  <si>
    <t xml:space="preserve">PG 1 </t>
  </si>
  <si>
    <t xml:space="preserve">PG 2 </t>
  </si>
  <si>
    <t xml:space="preserve">PG Minkowice </t>
  </si>
  <si>
    <t>Dowożenie uczniów do szkół</t>
  </si>
  <si>
    <t>(koszty dowożenia uczniów)</t>
  </si>
  <si>
    <t xml:space="preserve">Zespoły obsługi ekonomiczno-administracyjnej szkół </t>
  </si>
  <si>
    <t>(koszty  utrzymania ZEA)</t>
  </si>
  <si>
    <t xml:space="preserve">Przedszkola </t>
  </si>
  <si>
    <t>dotacja do kosztów utrzymania niepublicznych przedszkoli</t>
  </si>
  <si>
    <t xml:space="preserve">remonty obiektów </t>
  </si>
  <si>
    <t>dotacja dla ZUST przy ZEA</t>
  </si>
  <si>
    <t xml:space="preserve">Ochrona zdrowia </t>
  </si>
  <si>
    <t xml:space="preserve">Lecznictwo ambulatoryjne </t>
  </si>
  <si>
    <t>spłata zobowiązań SP ZOZ w Likwidacji</t>
  </si>
  <si>
    <t>Bezpieczeństwo publiczne i ochrona przeciwpożarowa</t>
  </si>
  <si>
    <t xml:space="preserve">Komendy wojewódzkie Policji </t>
  </si>
  <si>
    <t xml:space="preserve">finansowe wsparcie </t>
  </si>
  <si>
    <t xml:space="preserve">Ochotnicze straże pożarne </t>
  </si>
  <si>
    <t>Obrona cywilna</t>
  </si>
  <si>
    <t xml:space="preserve">koszty realizacji zadań Gminnego Zespołu Reagowania </t>
  </si>
  <si>
    <t>Zwalczanie narkomanii</t>
  </si>
  <si>
    <t>Przeciwdziałanie alkoholizmowi</t>
  </si>
  <si>
    <t xml:space="preserve">Pomoc społeczna </t>
  </si>
  <si>
    <t xml:space="preserve">Domy pomocy społecznej </t>
  </si>
  <si>
    <t>( koszty opłat za pobyt w DPS)</t>
  </si>
  <si>
    <t>Towarzystwa budownictwa społecznego</t>
  </si>
  <si>
    <t xml:space="preserve">zakup i objęcie akcji </t>
  </si>
  <si>
    <t>rozbudowa szkoły podstawowej i gimnazjum w Minkowicach</t>
  </si>
  <si>
    <t xml:space="preserve">Pozostałe zadania w zakresie polityki społecznej </t>
  </si>
  <si>
    <t>(Koszty utrzymania GCI)</t>
  </si>
  <si>
    <t>Edukacyjna opieka wychowawcza</t>
  </si>
  <si>
    <t xml:space="preserve">Świetlice szkolne </t>
  </si>
  <si>
    <t xml:space="preserve">świetlica w PG 1 </t>
  </si>
  <si>
    <t xml:space="preserve">świetlica w SP Minkowice </t>
  </si>
  <si>
    <t xml:space="preserve">świetlica w PSP 2 </t>
  </si>
  <si>
    <t>świetlica  w  PSP 3</t>
  </si>
  <si>
    <t xml:space="preserve">świetlica w PSP Miłoszyce </t>
  </si>
  <si>
    <t>świetlica w PSP Wójcice</t>
  </si>
  <si>
    <t>Kolonie i obozy oraz inne formy wypoczynku dzieci i młodzieży</t>
  </si>
  <si>
    <t>(koszty organizacji wypoczynku)</t>
  </si>
  <si>
    <t xml:space="preserve">Gospodarka komunalna i ochrona środowiska </t>
  </si>
  <si>
    <t>Gospodarka ściekowa i ochrona wód</t>
  </si>
  <si>
    <t>remonty kanalizacji burzowej</t>
  </si>
  <si>
    <t>konserwacja kanalizacji burzowej</t>
  </si>
  <si>
    <t>utrzymanie przepompowni wód opadowych</t>
  </si>
  <si>
    <t xml:space="preserve">budowa kanalizacji sanitarnej w Dziuplinie </t>
  </si>
  <si>
    <t xml:space="preserve">budowa kanalizacji sanitarnej w Chwałowicach i Dębinie </t>
  </si>
  <si>
    <t>Zasiłki i pomoc w naturze</t>
  </si>
  <si>
    <t>Dodatki mieszkaniowe</t>
  </si>
  <si>
    <t xml:space="preserve">Ośrodki pomocy społecznej </t>
  </si>
  <si>
    <t>(koszty utrzymania MGOPS)</t>
  </si>
  <si>
    <t>Usługi opiekuńcze</t>
  </si>
  <si>
    <t>(koszty usług opiekuńczych)</t>
  </si>
  <si>
    <t>(koszty pomocy w dożywianiu)</t>
  </si>
  <si>
    <t>Oczyszczanie miast i wsi</t>
  </si>
  <si>
    <t>Utrzymanie zieleni w mieście i gminie</t>
  </si>
  <si>
    <t>Schroniska dla zwierząt</t>
  </si>
  <si>
    <t xml:space="preserve">( koszty opieki nad bezpańskimi zwierzętami) </t>
  </si>
  <si>
    <t>Oświetlenie ulic, placów i dróg</t>
  </si>
  <si>
    <t xml:space="preserve"> koszty oświetlenia ulicznego </t>
  </si>
  <si>
    <t>uzupełnienie oświetlenia ulicznego</t>
  </si>
  <si>
    <t>budowa oświetlenia w Chwałowicach</t>
  </si>
  <si>
    <t>koszty utrzymania Targowiska</t>
  </si>
  <si>
    <t>Kultura i ochrona dziedzictwa narodowego</t>
  </si>
  <si>
    <t>Pozostałe zadania w zakresie kultury</t>
  </si>
  <si>
    <t>utrzymanie obiektów</t>
  </si>
  <si>
    <t>odbudowa zabytkowej wieży w Piekarach</t>
  </si>
  <si>
    <t xml:space="preserve">Biblioteki </t>
  </si>
  <si>
    <t>dotacja dla instytucji kultury - Biblioteki</t>
  </si>
  <si>
    <t xml:space="preserve">Ochrona zabytków i opieka nad zabytkami </t>
  </si>
  <si>
    <t>remont kościoła w Minkowicach</t>
  </si>
  <si>
    <t>Kultura fizyczna i sport</t>
  </si>
  <si>
    <t>Obiekty sportowe</t>
  </si>
  <si>
    <t>dotacja dla Pływalni Miejskiej</t>
  </si>
  <si>
    <t>Zadania w zakresie kultury fizycznej i sportu</t>
  </si>
  <si>
    <t>dotacje na zadania :</t>
  </si>
  <si>
    <t>prowadzenia zajęć w zakresie kolarstwa</t>
  </si>
  <si>
    <t>organizację treningów i zawodów strzeleckich</t>
  </si>
  <si>
    <t>prowadzenie zajęć w zakresie  tenisa</t>
  </si>
  <si>
    <t>prowadzenie zajęć modelarskich z młodzieżą</t>
  </si>
  <si>
    <t>prowadzenie zajęć w zakresie piłki siatkowej</t>
  </si>
  <si>
    <t>koszty imprez sportowo-rekreacyjnych dla dzieci  młodzieży</t>
  </si>
  <si>
    <t>koszty organizacji Dnia Dziecka</t>
  </si>
  <si>
    <t>WYDATKI Z ZAKRESU ADMINISTRACJI RZĄDOWEJ I INNE ZLECONE USTAWAMI</t>
  </si>
  <si>
    <t xml:space="preserve">Urzędy wojewódzkie </t>
  </si>
  <si>
    <t xml:space="preserve">dofinansowanie do kosztów wynagrodzenia  </t>
  </si>
  <si>
    <t>Obrona narodowa</t>
  </si>
  <si>
    <t>Pozostałe wydatki obronne</t>
  </si>
  <si>
    <t>( materiały i szkolenia)</t>
  </si>
  <si>
    <t xml:space="preserve">Obrona cywilna </t>
  </si>
  <si>
    <t xml:space="preserve">Świadczenia rodzinne , zaliczka alimentacyjna oraz składki na ubezpieczenia </t>
  </si>
  <si>
    <t>Zasiłki i pomoc w naturze oraz składki na ubezp. emerytalne i rentowe</t>
  </si>
  <si>
    <t>ZADANIA REALIZOWANE NA PODSTAWIE  POROZUMIEŃ Z ADMINISTRACJĄ RZĄDOWĄ</t>
  </si>
  <si>
    <t xml:space="preserve">Działalność usługowa </t>
  </si>
  <si>
    <t>Cmentarze - utrzymanie mogiły wojennej</t>
  </si>
  <si>
    <t xml:space="preserve">Ogółem wydatki </t>
  </si>
  <si>
    <t>koszty realizacji zadań w zakresie zwalczania narkomanii</t>
  </si>
  <si>
    <t>koszty realizacji Gminnego Programu Rozwiązywania problemów alkoholowych</t>
  </si>
  <si>
    <t>Pochodne od 
wynagrodzeń</t>
  </si>
  <si>
    <t>7OOO5</t>
  </si>
  <si>
    <t>7OO21</t>
  </si>
  <si>
    <t>7OO95</t>
  </si>
  <si>
    <t>75O22</t>
  </si>
  <si>
    <t>75O23</t>
  </si>
  <si>
    <t>75O75</t>
  </si>
  <si>
    <t>budowa kotłowni w SP nr 3</t>
  </si>
  <si>
    <t>koszty remontów i utrzymania  obiektów kultury</t>
  </si>
  <si>
    <t>wydatki inwestycyjne</t>
  </si>
  <si>
    <t xml:space="preserve">wydatki inwestycyjne </t>
  </si>
  <si>
    <t xml:space="preserve">   </t>
  </si>
  <si>
    <t xml:space="preserve">Przedszkole Niepubliczne w Minkowicach </t>
  </si>
  <si>
    <t xml:space="preserve">Prowadzenie masowych zajęć sportowych z  młodzieżą gminy </t>
  </si>
  <si>
    <t xml:space="preserve">Prowadzenie zajęć sportowych z młodzieżą w zakresie kolarstwa </t>
  </si>
  <si>
    <t>Prowadzenie zajęć w zakresie modelarstwa z młodzieżą</t>
  </si>
  <si>
    <t>Prowadzenie zajęć sportowych w zakresie piłki siatkowej z młodzieżą</t>
  </si>
  <si>
    <t xml:space="preserve">Organizacja treningów i zawodów strzeleckich </t>
  </si>
  <si>
    <t>przelewy z Urzędu Marszałkowskiego</t>
  </si>
  <si>
    <t xml:space="preserve">wpływy z różnych opłat </t>
  </si>
  <si>
    <t xml:space="preserve">w tym na : </t>
  </si>
  <si>
    <t xml:space="preserve">edukacja ekologiczna </t>
  </si>
  <si>
    <t xml:space="preserve">gospodarka wodno - ściekowa </t>
  </si>
  <si>
    <t xml:space="preserve">gospodarka odpadami i ochrona powierzchni ziemi </t>
  </si>
  <si>
    <t xml:space="preserve">Pływalnia Miejska </t>
  </si>
  <si>
    <t>Gospodarstwo Pomocnicze przy Urzędzie Miasta i Gminy</t>
  </si>
  <si>
    <t>ZUST przy ZEA</t>
  </si>
  <si>
    <t xml:space="preserve">Publiczne Gimnazjum nr 1 </t>
  </si>
  <si>
    <t xml:space="preserve">Publiczne Gimnazjum nr 2 </t>
  </si>
  <si>
    <t xml:space="preserve">Zespół PSP i PG Minkowice </t>
  </si>
  <si>
    <t xml:space="preserve">PSP nr 2 </t>
  </si>
  <si>
    <t xml:space="preserve">PSP nr 3 </t>
  </si>
  <si>
    <t xml:space="preserve">PSP Wójcice </t>
  </si>
  <si>
    <t>ZEA w Jelczu-Laskowicach</t>
  </si>
  <si>
    <t>Prowadzenie zajęć sportowych w zakresie pływania z młodzieżą</t>
  </si>
  <si>
    <t>Prowadzenie zajęć sportowych w zakresie tenisa stołowego z młodzieżą</t>
  </si>
  <si>
    <r>
      <t xml:space="preserve">spłaty zadłużenia po uwzględnieniu wyłączeń </t>
    </r>
    <r>
      <rPr>
        <sz val="11"/>
        <rFont val="Arial"/>
        <family val="2"/>
      </rPr>
      <t xml:space="preserve">(art. 169 ust. 3)       </t>
    </r>
  </si>
  <si>
    <t xml:space="preserve">rezerwa ogólna </t>
  </si>
  <si>
    <t xml:space="preserve">Dochody związane z realizacją zadań z zakresu administracji rządowej podlegające przekazaniu do budżetu państwa </t>
  </si>
  <si>
    <t xml:space="preserve">prowadzenie zajęć w zakresie pływania </t>
  </si>
  <si>
    <t>Drogi publiczne powiatowe</t>
  </si>
  <si>
    <t>pomoc dla powiatu na remont skrzyżowania Oławska - Witosa</t>
  </si>
  <si>
    <t>budowa drogi dojazdowej do gruntów rolnych w Wójcicach</t>
  </si>
  <si>
    <t xml:space="preserve">koszty  utrzymania OSP </t>
  </si>
  <si>
    <t xml:space="preserve">dofinansowanie do zakupu samochodu pożarniczego dla OSP </t>
  </si>
  <si>
    <t xml:space="preserve">Szpitale ogólne </t>
  </si>
  <si>
    <t xml:space="preserve">Pomoc dla powiatu na restrukturyzację szpitala  </t>
  </si>
  <si>
    <t>remont hali sportowej</t>
  </si>
  <si>
    <t>Pomoc dla Starostwa Powiatowego w restrukturyzacji szpitala</t>
  </si>
  <si>
    <r>
      <t xml:space="preserve">Zobowiązania wg tytułów dłużnych: </t>
    </r>
    <r>
      <rPr>
        <sz val="12"/>
        <rFont val="Arial"/>
        <family val="2"/>
      </rPr>
      <t>(1.1+1.2+1.3)</t>
    </r>
  </si>
  <si>
    <r>
      <t xml:space="preserve">długu </t>
    </r>
    <r>
      <rPr>
        <sz val="12"/>
        <rFont val="Arial"/>
        <family val="2"/>
      </rPr>
      <t xml:space="preserve">(art. 170 ust. 1)         </t>
    </r>
  </si>
  <si>
    <r>
      <t xml:space="preserve">spłaty zadłużenia   </t>
    </r>
    <r>
      <rPr>
        <sz val="12"/>
        <rFont val="Arial"/>
        <family val="2"/>
      </rPr>
      <t>(art. 169 ust. 1</t>
    </r>
    <r>
      <rPr>
        <b/>
        <sz val="12"/>
        <rFont val="Arial"/>
        <family val="2"/>
      </rPr>
      <t xml:space="preserve">)       </t>
    </r>
  </si>
  <si>
    <t>kredyty,
pożyczki i
 obligacje</t>
  </si>
  <si>
    <t>UMiG</t>
  </si>
  <si>
    <t>Budowa ul.Ratowickiej w Miłoszycach</t>
  </si>
  <si>
    <t>9.</t>
  </si>
  <si>
    <t>10.</t>
  </si>
  <si>
    <t>Rozbudowa szkoły podstawowej i gimnazjum w Minkowicach</t>
  </si>
  <si>
    <t>11.</t>
  </si>
  <si>
    <t>Termomodernizacja Budynku SP i gimnazjum nr 2 oraz SP nr 3</t>
  </si>
  <si>
    <t>12.</t>
  </si>
  <si>
    <t>Budowa kotłowni w SP nr 3</t>
  </si>
  <si>
    <t>13.</t>
  </si>
  <si>
    <t>14.</t>
  </si>
  <si>
    <t>15.</t>
  </si>
  <si>
    <t>16.</t>
  </si>
  <si>
    <t>17.</t>
  </si>
  <si>
    <t>Bud.kanalizacji sanitarnej w Kopalinie</t>
  </si>
  <si>
    <t>18.</t>
  </si>
  <si>
    <t>Bud.kanalizacji sanitarnej w Minkowicach</t>
  </si>
  <si>
    <t>19.</t>
  </si>
  <si>
    <t>Budowa oświetlrnia - Chwałowice</t>
  </si>
  <si>
    <t>20.</t>
  </si>
  <si>
    <t>21.</t>
  </si>
  <si>
    <t>kredyty, pożyczki i obligacje</t>
  </si>
  <si>
    <t>Budowa ul.Leśnej   oś.Jelcz</t>
  </si>
  <si>
    <t>Program:PROW 2007-2013</t>
  </si>
  <si>
    <t>Działanie:Podstawowe usługi dla gospodarki i ludności wiejskiej</t>
  </si>
  <si>
    <t>Nazwa projektu:Budowa kanalizacji sanitarnej w Dziuplinie</t>
  </si>
  <si>
    <t>Nazwa projektu:Budowa kanalizacji sanitarnej w Kopalinie</t>
  </si>
  <si>
    <t xml:space="preserve"> Razem wydatki :</t>
  </si>
  <si>
    <t>2009r.</t>
  </si>
  <si>
    <t>2010r.</t>
  </si>
  <si>
    <t>Nazwa projektu:Budowa kanalizacji sanitarnej w Minkowicach</t>
  </si>
  <si>
    <t>Program: PO Infrastruktura i środowisko</t>
  </si>
  <si>
    <t>Priorytet:I-Gospodarka wodno-ściekowa</t>
  </si>
  <si>
    <t>Działanie:Gospodarka wod-ściekowa w aglomeracjach powyżej 15tys.RLM</t>
  </si>
  <si>
    <t>Nazwa projektu:Budowa kanalizacji sanitarnej w Chwałowicach i Dębinie</t>
  </si>
  <si>
    <t>010</t>
  </si>
  <si>
    <t>Wydatki budżetu gminy na  2008 r.</t>
  </si>
  <si>
    <t>Przewid wyk
za 2007 r.</t>
  </si>
  <si>
    <t>budowa kanalizacji sanitarnej w Miłoszycach II etap</t>
  </si>
  <si>
    <t>remont ul. Tańskiego I etap</t>
  </si>
  <si>
    <t>przebudowa drogi dojazdowej go gruntów rolnych Piekary-Chwałowice</t>
  </si>
  <si>
    <t>przebudowa drogi dojazdowej go gruntów rolnych Kopalina</t>
  </si>
  <si>
    <t>przebudowa drogi dojazdowej go gruntów rolnych Minkowice Oł</t>
  </si>
  <si>
    <t>parku miejski ego - projekt</t>
  </si>
  <si>
    <t>remont Pałacu</t>
  </si>
  <si>
    <t>restauracja Parku przy Pałacu</t>
  </si>
  <si>
    <t>Centra kultury i sztuki</t>
  </si>
  <si>
    <t>budowa boiska Chwałowice-Dębina</t>
  </si>
  <si>
    <t>stypendia dla uczniów</t>
  </si>
  <si>
    <t>inwestycje</t>
  </si>
  <si>
    <t>utwardzenie nawierzchni targowiska</t>
  </si>
  <si>
    <t>utwardzenie nawierzchni targowiska - projekt</t>
  </si>
  <si>
    <t>centrum integracji społecznej</t>
  </si>
  <si>
    <t>wyposażenie świetlic: środowiskowej i socjoterapeutycznej</t>
  </si>
  <si>
    <t>utworzenie miasteczka ruchu drogowego</t>
  </si>
  <si>
    <t>odsetki od kredytu BGK</t>
  </si>
  <si>
    <t>prewencja chorób cywilizacyjnych</t>
  </si>
  <si>
    <t>zakup samochodu osobowego</t>
  </si>
  <si>
    <t>odsetki od kredytu krótkoterminowego</t>
  </si>
  <si>
    <t>odsetki od spłaty zobowiązań wobec WSSE</t>
  </si>
  <si>
    <t xml:space="preserve">odsetki od emisji oblig. komunalnych </t>
  </si>
  <si>
    <t>zagospodarowanie placu JP II -projekt</t>
  </si>
  <si>
    <t xml:space="preserve">prowadzenie masowych zajęć sportowych z młodzieżą </t>
  </si>
  <si>
    <t xml:space="preserve">Jednostki specjal. poradnictwa, mieszkania chronione </t>
  </si>
  <si>
    <t>koszty opłat za mieszkania chronione</t>
  </si>
  <si>
    <t>01095</t>
  </si>
  <si>
    <t>zwrot akcyzy dla rolników</t>
  </si>
  <si>
    <t>koncepcja opracowania obwodnicy</t>
  </si>
  <si>
    <t>dofinansowanie remontu ul. Witosa</t>
  </si>
  <si>
    <t>%</t>
  </si>
  <si>
    <t>5 : 4</t>
  </si>
  <si>
    <t>dynamika</t>
  </si>
  <si>
    <t xml:space="preserve">remonty gminnych obiektów </t>
  </si>
  <si>
    <t>Wybory do Sejmu i Senatu</t>
  </si>
  <si>
    <t xml:space="preserve">dofinansowanie do zakupu samochodu pożarniczego </t>
  </si>
  <si>
    <t xml:space="preserve">Komendy powiatowe Państwowej Straży Pożarnej </t>
  </si>
  <si>
    <t>koszty kształcenia uczniów - pracodawcy</t>
  </si>
  <si>
    <t>komisja kwalifik. awansu zawodowego nauczycieli + pozostałe wydatki</t>
  </si>
  <si>
    <t>Pomoc materialna dla uczniów</t>
  </si>
  <si>
    <t>budowa boiska w Minkowicach Oł.</t>
  </si>
  <si>
    <t>budowa boiska przy SP i PG Nr 2 w J-L</t>
  </si>
  <si>
    <t xml:space="preserve">Komendy powiatowe Policji </t>
  </si>
  <si>
    <t>remonty:</t>
  </si>
  <si>
    <t>Przychody i rozchody budżetu w 2008 r.</t>
  </si>
  <si>
    <t>SPŁATA KREDYTÓW I POŻYCZEK</t>
  </si>
  <si>
    <t>RAZEM WYDATKI I ROZCHODY</t>
  </si>
  <si>
    <t>prowadzenie zajęć sportowych z młodzieżą szkolną</t>
  </si>
  <si>
    <t>utrzymanie lokali socjalnych i odszkodowania za zajmowane lokale</t>
  </si>
  <si>
    <t>DOCHODY</t>
  </si>
  <si>
    <t>SALDO (dochody i wydatki)</t>
  </si>
  <si>
    <t>Dochody budżetu gminy na 2008 r.</t>
  </si>
  <si>
    <t>DOCHODY  BIEŻĄCE</t>
  </si>
  <si>
    <t>plan na 2008 r.</t>
  </si>
  <si>
    <t>wpływy z innych lokalnych opłat pobieranych przez j.s.t na podstawie odrębnych ustaw</t>
  </si>
  <si>
    <t>DOCHODY MAJĄTKOWE</t>
  </si>
  <si>
    <t xml:space="preserve">700 Gospodarka mieszkaniowa </t>
  </si>
  <si>
    <t xml:space="preserve">wpływy z tyt. przekształcenia prawa użytkowania wieczystego nieruchomości </t>
  </si>
  <si>
    <t xml:space="preserve">sprzedaż lub oddanie w użytkowanie wieczyste nieruchomości przeznaczonych pod zabudowę </t>
  </si>
  <si>
    <t>dofinansowanie  ze środków ZPORR budowy kanalizacji sanitarnej w Miłoszycach-refundacja  poniesionych kosztów</t>
  </si>
  <si>
    <t>DOTACJE REALIZOWANE NA PODSTAWIE POROZUMIEŃ Z ADMINISTRACJĄ RZĄDOWĄ</t>
  </si>
  <si>
    <t>710 Działalność usługowa</t>
  </si>
  <si>
    <t xml:space="preserve">Dotacje celowe z budżetu państwa na zadania własne- utrzymanie mogił wojennych </t>
  </si>
  <si>
    <t xml:space="preserve">DOFINANSOWANIE ZE ŚRODKÓW ZPORR </t>
  </si>
  <si>
    <t>rezerwa na zarządzanie kryzysowe</t>
  </si>
  <si>
    <t xml:space="preserve">   zagraniczne</t>
  </si>
  <si>
    <t>odsetki od planowanego kredytu</t>
  </si>
  <si>
    <t xml:space="preserve">801 Oświata i wychowanie </t>
  </si>
  <si>
    <t xml:space="preserve">dotacje z budżetu państwa na realizację własnych zadań </t>
  </si>
  <si>
    <t xml:space="preserve">Wpływy ze sprzedaży składników majątkowych , w tym : </t>
  </si>
  <si>
    <t>dotacje celowe otrzymane z budżetu państwa na realizację zadań bieżących z zakresu administracji rządowej na wybory do sejmu i senatu</t>
  </si>
  <si>
    <t xml:space="preserve">010 Rolnictwo i łowiectwo </t>
  </si>
  <si>
    <t>dotacje celowe otrzymane z budżetu państwa na realizację zadań bieżących z zakresu administracji rządowej - zwrot akcyzy</t>
  </si>
  <si>
    <t xml:space="preserve">dotacja z budżetu państwa na realizację własnych zadań </t>
  </si>
  <si>
    <t>Kwota długu na dzień 31.12.2007</t>
  </si>
  <si>
    <t>Kwota</t>
  </si>
  <si>
    <t>Plan na 2008 r.</t>
  </si>
  <si>
    <t>wspieranie wykorzystania lokalnych źródeł energii odnawialnej</t>
  </si>
  <si>
    <t xml:space="preserve">Prognozowane wydatki budżetowe </t>
  </si>
  <si>
    <t>pozostałe wydatki ( materiały i usługi) związane z ochroną środowiska</t>
  </si>
  <si>
    <t>zakup gruntów</t>
  </si>
  <si>
    <t xml:space="preserve">dopłata do ceny obiadu dla uczniów w stołówkach szkolnych </t>
  </si>
  <si>
    <t xml:space="preserve"> dopłata do ceny biletu na  Pływalnię </t>
  </si>
  <si>
    <t>Miejsko -Gminne Centrum Kultury</t>
  </si>
  <si>
    <t xml:space="preserve">Biblioteka Miejska </t>
  </si>
  <si>
    <t>Dotacje celowe na zadania własne gminy realizowane przez podmioty należące
i nienależące do sektora finansów publicznych w 2008 r.</t>
  </si>
  <si>
    <t xml:space="preserve">Prowadzenie zajęć sportowych z młodzieżą szkolną </t>
  </si>
  <si>
    <t>Dochody i wydatki związane z realizacją zadań z zakresu administracji rządowej i innych zadań zleconych odrębnymi ustawami w 2008 r.</t>
  </si>
  <si>
    <t>Dochody i wydatki związane z realizacją zadań z zakresu administracji rządowej wykonywanych na podstawie porozumień z organami administracji rządowej w 2008 r.</t>
  </si>
  <si>
    <t>Dotacje przedmiotowe w 2008 r.</t>
  </si>
  <si>
    <t>rezerwa na ochronę i konserwację zabytków</t>
  </si>
  <si>
    <t xml:space="preserve">Fundusz Świadczeń Socjalnych nauczycieli - emerytów i rencistów </t>
  </si>
  <si>
    <t>koszty organizacji imprez kulturalnych i prowadzenia działalności z dziećmi i młodzieżą</t>
  </si>
  <si>
    <t>przebudowa obiektu przy ul. Świętochowskiej</t>
  </si>
  <si>
    <t xml:space="preserve">Składki na ubezpieczenia zdrowotne opłacane za osoby pobierające świadczenia z pomocy społecznej </t>
  </si>
  <si>
    <t xml:space="preserve"> oraz dochodów i wydatków dochodów własnych jednostek budżetowych na 2008 r.</t>
  </si>
  <si>
    <t>p.w. 2007 r.</t>
  </si>
  <si>
    <t xml:space="preserve">Plan na 
2008 r.
</t>
  </si>
  <si>
    <t xml:space="preserve">Urzędy nacz. organów władzy państwowej, kontroli i ochrony prawa oraz sądownictwa </t>
  </si>
  <si>
    <t>Ogółem:</t>
  </si>
  <si>
    <t>Stan środków obrotowych**
na początek roku</t>
  </si>
  <si>
    <t>§ 265, 266</t>
  </si>
  <si>
    <t>Dotacje podmiotowe w 2008 r.</t>
  </si>
  <si>
    <r>
      <t xml:space="preserve">długu po uwzględnieniu wyłączeń </t>
    </r>
    <r>
      <rPr>
        <sz val="12"/>
        <rFont val="Arial"/>
        <family val="2"/>
      </rPr>
      <t>(art. 170 ust. 3)</t>
    </r>
  </si>
  <si>
    <t xml:space="preserve">Załącznik nr 1 </t>
  </si>
  <si>
    <t xml:space="preserve">Załącznik nr 2 </t>
  </si>
  <si>
    <t>Załącznik nr 5</t>
  </si>
  <si>
    <t xml:space="preserve">Załącznik nr 6 </t>
  </si>
  <si>
    <t>Załącznik nr 7</t>
  </si>
  <si>
    <t>Załącznik nr 8</t>
  </si>
  <si>
    <t>Załącznik nr 9</t>
  </si>
  <si>
    <t>Załącznik nr 10</t>
  </si>
  <si>
    <t>Załącznik nr 12</t>
  </si>
  <si>
    <t>Załącznik nr 13</t>
  </si>
  <si>
    <t>756 Dochody od osób prawnych, od osób fiz. i od innych jednostek nieposiadaj. 
       osobowości prawnej oraz wydatki związane z ich poborem</t>
  </si>
  <si>
    <t>podatek leśny</t>
  </si>
  <si>
    <t>751 Urzędy nacz. organów władzy państwowej, kontroli i ochrony prawa oraz sądownictwa</t>
  </si>
  <si>
    <t>dotacje celowe otrzymane z budżetu państwa na realizację zadań bieżących z zakresu administracji rządowej na bieżącą aktualizację spisów wyborców</t>
  </si>
  <si>
    <t>dotacje celowe otrzymane z budżetu państwa na realizację zadań bieżących z zakresu administracji rządowej dofin. kosztów szkoleń i materiałów z zakresu obrony cywilnej</t>
  </si>
  <si>
    <t>DOTACJE Z BUDŻETU PAŃSTWA NA WSPÓŁFINANSOWANIE PROGRAMÓW ZE ŚRODKÓW ZPORR</t>
  </si>
  <si>
    <t xml:space="preserve">dofinansowanie budowy kanalizacji sanitarnej w Miłoszycach - refundacja poniesionych kosztów </t>
  </si>
  <si>
    <t>budowa ul. Długiej w Miłoszycach</t>
  </si>
  <si>
    <t>budowa ul. Ratowickiej w Miłoszycach</t>
  </si>
  <si>
    <t>budowa ul. Leśnej w os. Jelcz</t>
  </si>
  <si>
    <t>wynagrodzenie bezosobowe czł. Kom. Urbanistyczno-Architek.</t>
  </si>
  <si>
    <t>oprac. projektów o warunkach zabudowy inwestycji celu publicznego</t>
  </si>
  <si>
    <t>opłaty notarialne i sądowe</t>
  </si>
  <si>
    <t xml:space="preserve">odszkodowania  za grunty przeznaczone na cele publiczne </t>
  </si>
  <si>
    <t xml:space="preserve">Dochody od osób prawnych, od osób fizycznych i od innych jednostek organizacyjnych </t>
  </si>
  <si>
    <t>Pobór podatków, opłat i nieopodatkowanych należności</t>
  </si>
  <si>
    <t xml:space="preserve">Urzędy nacz. organów władzy państwowej ,kontroli i ochrony prawa  </t>
  </si>
  <si>
    <t>ZUST przy ZEA - Gosp. pomocnicze</t>
  </si>
  <si>
    <t>Pływalnia Miejska - Zakł. budż.</t>
  </si>
  <si>
    <t xml:space="preserve">Przedszkole Niepubliczne przy ul. Liliowej w Jelczu-Laskowicach </t>
  </si>
  <si>
    <t xml:space="preserve">Przedszkole Niepubliczne przy al. Wolności w Jelczu-Laskowicach </t>
  </si>
  <si>
    <t>Pomoc dla Starostwa Powiatowego  -opracowanie koncepcji budowy obwodnicy</t>
  </si>
  <si>
    <t>wspomaganie systemów gromadzenia i przetwarzania danych związanych z dostępem do informacji o środowisku</t>
  </si>
  <si>
    <t>utrzymanie terenów zieleni, zadrzewień i zakrzewień oraz parków</t>
  </si>
  <si>
    <t>Załącznik nr 11</t>
  </si>
  <si>
    <t>Limity wydatków na wieloletnie programy inwestycyjne w latach 2008 - 2010</t>
  </si>
  <si>
    <t>rok budżetowy 2008 (8+9+10+11)</t>
  </si>
  <si>
    <t>2010 r.</t>
  </si>
  <si>
    <t>Budowa drogi dojazdowej do gruntów rolnych Piekary-Chwałowice</t>
  </si>
  <si>
    <t>Budowa drogi dojazdowej do gruntów rolnych w Kopalinie</t>
  </si>
  <si>
    <t>Bud.kanalizacji sanitarnej w Miłoszycach- II etap</t>
  </si>
  <si>
    <t>Bud.Kanalizacji sanitarnej w Dziuplinie</t>
  </si>
  <si>
    <t>Bud.Kanalizacji sanitarnej w Chwałowicach i Dębinie</t>
  </si>
  <si>
    <t>22.</t>
  </si>
  <si>
    <t>23.</t>
  </si>
  <si>
    <t>24.</t>
  </si>
  <si>
    <t>Budowa boiska Chwałowice-Dębina</t>
  </si>
  <si>
    <t>Załącznik nr 3</t>
  </si>
  <si>
    <t>Zadania inwestycyjne w 2008 r.</t>
  </si>
  <si>
    <r>
      <t xml:space="preserve">rok budżetowy 2008 </t>
    </r>
    <r>
      <rPr>
        <b/>
        <sz val="10"/>
        <rFont val="Arial CE"/>
        <family val="0"/>
      </rPr>
      <t>(8+9+10+11)</t>
    </r>
  </si>
  <si>
    <t>Bud. kanalizacji sanitarnej w Miłoszycach i Dziuplinie</t>
  </si>
  <si>
    <t>Załącznik nr 3a</t>
  </si>
  <si>
    <t>Budowa ul. Leśnej
os. Jelcz</t>
  </si>
  <si>
    <t>Budowa ul.Hirszfelda (kontynuacja)
Jelcz-Laskowice</t>
  </si>
  <si>
    <t>Budowa ul. Techników
Jelcz-Laskowice</t>
  </si>
  <si>
    <t>Budowa dróg na osiedlu domków jednorodzinnych
Jelcz-Laskowice</t>
  </si>
  <si>
    <t>Budowa ul. Polnej, Wąskopolnej i Sadowej
Jelcz-Laskowice</t>
  </si>
  <si>
    <t>Modernizacja Al. Wolności
Jelcz-Laskowice</t>
  </si>
  <si>
    <t>Przebudowa Al. Wolności
Jelcz-Laskowice</t>
  </si>
  <si>
    <t>Budowa budynku socjalnego
Jelcz-Laskowice</t>
  </si>
  <si>
    <t>Komputeryzacja Urzędu MiG
Jelcz-Laskowice</t>
  </si>
  <si>
    <t>zagospodarowanie placu JP II
Jelcz-Laskowice</t>
  </si>
  <si>
    <t>Budowa boiska oś. Fabryczne
Jelcz-Laskowice</t>
  </si>
  <si>
    <t>Budowa OSIR
Jelcz-Laskowice</t>
  </si>
  <si>
    <t>Budowa ul.Polnej, Wąskopolnej i Sadowej
Jelcz-Laskowice</t>
  </si>
  <si>
    <t>Komputeryzacja Urzędu MiG 
Jelcz-Laskowice</t>
  </si>
  <si>
    <t xml:space="preserve">budowa ul. Techników, Jelcz-Laskowice </t>
  </si>
  <si>
    <t>budowa ul. Hirszfelda ( kontynuacja) 
Jelcz-Laskowice</t>
  </si>
  <si>
    <t>przebudowa Al. Wolności, Jelcz-Laskowice</t>
  </si>
  <si>
    <t>budowa dróg na oś. domków jedn. Projekt 
Jelcz-Laskowice</t>
  </si>
  <si>
    <t>budowa dróg na ul. Polnej, Wąskopolnej i Sadowej projekt, Jelcz-Laskowice</t>
  </si>
  <si>
    <t xml:space="preserve">zakup infrastruktury technicznej w podstrefie WSSE, Jelcz-Laskowice </t>
  </si>
  <si>
    <t>budowa budynku socjalnego, Jelcz-Laskowice</t>
  </si>
  <si>
    <t>budowa OSiR - projekt Jelcz-Laskowice</t>
  </si>
  <si>
    <t>budowa boiska oś. Fabryczne, Jelcz-Laskowice</t>
  </si>
  <si>
    <t>Załącznik nr 4</t>
  </si>
  <si>
    <t>Priorytet 3 - Jakość życia na obszarach wiejskich i różnicowanie gospodarki wodnej</t>
  </si>
  <si>
    <t>z tego: 2008 r.</t>
  </si>
  <si>
    <t>2011 r.***</t>
  </si>
  <si>
    <t>Działanie 3.3: Podstawowe usługi dla gospodarki i ludności wiejskiej</t>
  </si>
  <si>
    <t>z tego 2008r.</t>
  </si>
  <si>
    <t>2011r.</t>
  </si>
  <si>
    <t>Program :PROW 2007-2013</t>
  </si>
  <si>
    <t>1.4</t>
  </si>
  <si>
    <t>20010 r.</t>
  </si>
  <si>
    <t>1.5</t>
  </si>
  <si>
    <t>Program: RPO WD 2007-2013</t>
  </si>
  <si>
    <t>Priorytet: 3 - Transport</t>
  </si>
  <si>
    <t>Działanie: Transport drogowy</t>
  </si>
  <si>
    <t>Nazwa projektu:Budowa ul. Techników</t>
  </si>
  <si>
    <t>Priorytet: 8 - Zdrowie</t>
  </si>
  <si>
    <t>Działanie: 8.1 - Poprawa jakości opieki zdrowotnej</t>
  </si>
  <si>
    <t>Nazwa projektu:Program prewencji pierwotnej i wtórnej chorób cywilizacyjnych w gminie Jelcz-Laskowice</t>
  </si>
  <si>
    <t>Priorytet: 6 - Turystyka i Kultura</t>
  </si>
  <si>
    <t>Działanie: 6.2 - Turystyka aktywna</t>
  </si>
  <si>
    <t>Nazwa projektu: Budowa OSIR</t>
  </si>
  <si>
    <t>*** rok 2011 do wykorzystania fakultatywnego</t>
  </si>
  <si>
    <t xml:space="preserve">Ogółem </t>
  </si>
  <si>
    <t xml:space="preserve">do uchwały nr XVIII/124/2007 </t>
  </si>
  <si>
    <t xml:space="preserve">z dnia : 28 grudnia 2007 r. </t>
  </si>
  <si>
    <t>do uchwały nr  XVIII/124/2007</t>
  </si>
  <si>
    <t xml:space="preserve"> zadania w zakresie aktualizacji spisów wyborców </t>
  </si>
  <si>
    <t>do uchwały nr XVIII/124/2007</t>
  </si>
  <si>
    <t>z dnia : 28 grudnia 2007 r.</t>
  </si>
  <si>
    <t xml:space="preserve">do uchwały nr  XVIII/124/2007 </t>
  </si>
  <si>
    <t>z dnia : 28 grudnia 2007</t>
  </si>
  <si>
    <t>Dofinansowanie do zakupu samochodu pożarniczego dla OSP Minkowice Oł.</t>
  </si>
  <si>
    <t>Prognoza kwoty długu i spłat na rok 2008 i lata następne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</si>
</sst>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_-* #,##0.000\ _z_ł_-;\-* #,##0.000\ _z_ł_-;_-* &quot;-&quot;??\ _z_ł_-;_-@_-"/>
    <numFmt numFmtId="171" formatCode="0.0%"/>
    <numFmt numFmtId="172" formatCode="#,##0.0"/>
    <numFmt numFmtId="173" formatCode="_-* #,##0.0000\ _z_ł_-;\-* #,##0.0000\ _z_ł_-;_-* &quot;-&quot;??\ _z_ł_-;_-@_-"/>
    <numFmt numFmtId="174" formatCode="0.000%"/>
    <numFmt numFmtId="175" formatCode="0.0000%"/>
    <numFmt numFmtId="176" formatCode="0####"/>
    <numFmt numFmtId="177" formatCode="###,,,,"/>
    <numFmt numFmtId="178" formatCode="_-* #,##0.00\ _z_ł_-;\-* #,##0.00_-"/>
    <numFmt numFmtId="179" formatCode="_-* #,##0.000\ _z_ł_-;\-* #,##0.000_-"/>
    <numFmt numFmtId="180" formatCode="_-* #,##0.0\ _z_ł_-;\-* #,##0.0_-"/>
    <numFmt numFmtId="181" formatCode="_-* #,##0\ _z_ł_-;\-* #,##0_-"/>
  </numFmts>
  <fonts count="2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b/>
      <sz val="11"/>
      <name val="Arial CE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 style="hair"/>
      <bottom style="hair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thin"/>
    </border>
    <border>
      <left style="medium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medium"/>
    </border>
    <border>
      <left>
        <color indexed="63"/>
      </left>
      <right style="hair"/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>
      <alignment/>
      <protection/>
    </xf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top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10" fillId="0" borderId="0" xfId="18" applyFont="1">
      <alignment/>
      <protection/>
    </xf>
    <xf numFmtId="0" fontId="11" fillId="0" borderId="1" xfId="18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9" fillId="2" borderId="1" xfId="18" applyFont="1" applyFill="1" applyBorder="1" applyAlignment="1">
      <alignment horizontal="center" vertical="center" wrapText="1"/>
      <protection/>
    </xf>
    <xf numFmtId="0" fontId="9" fillId="0" borderId="1" xfId="18" applyFont="1" applyBorder="1">
      <alignment/>
      <protection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0" fillId="0" borderId="3" xfId="18" applyFont="1" applyBorder="1">
      <alignment/>
      <protection/>
    </xf>
    <xf numFmtId="0" fontId="10" fillId="0" borderId="4" xfId="18" applyFont="1" applyBorder="1">
      <alignment/>
      <protection/>
    </xf>
    <xf numFmtId="0" fontId="1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9" fillId="0" borderId="0" xfId="18" applyFont="1">
      <alignment/>
      <protection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20" fillId="0" borderId="0" xfId="18" applyFont="1">
      <alignment/>
      <protection/>
    </xf>
    <xf numFmtId="0" fontId="10" fillId="0" borderId="3" xfId="18" applyFont="1" applyBorder="1" applyAlignment="1">
      <alignment/>
      <protection/>
    </xf>
    <xf numFmtId="0" fontId="0" fillId="0" borderId="2" xfId="0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3" fillId="0" borderId="8" xfId="0" applyFont="1" applyBorder="1" applyAlignment="1">
      <alignment vertical="center"/>
    </xf>
    <xf numFmtId="0" fontId="0" fillId="0" borderId="8" xfId="0" applyBorder="1" applyAlignment="1">
      <alignment vertical="center" wrapText="1"/>
    </xf>
    <xf numFmtId="0" fontId="15" fillId="0" borderId="8" xfId="0" applyFont="1" applyBorder="1" applyAlignment="1">
      <alignment vertical="center"/>
    </xf>
    <xf numFmtId="0" fontId="0" fillId="0" borderId="8" xfId="0" applyFont="1" applyBorder="1" applyAlignment="1">
      <alignment vertical="center" wrapText="1"/>
    </xf>
    <xf numFmtId="0" fontId="0" fillId="0" borderId="8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3" fillId="0" borderId="0" xfId="0" applyFont="1" applyBorder="1" applyAlignment="1">
      <alignment vertical="top" wrapText="1"/>
    </xf>
    <xf numFmtId="169" fontId="13" fillId="0" borderId="0" xfId="0" applyNumberFormat="1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169" fontId="13" fillId="0" borderId="4" xfId="15" applyNumberFormat="1" applyFont="1" applyBorder="1" applyAlignment="1">
      <alignment vertical="top" wrapText="1"/>
    </xf>
    <xf numFmtId="169" fontId="0" fillId="0" borderId="2" xfId="15" applyNumberFormat="1" applyFont="1" applyBorder="1" applyAlignment="1">
      <alignment vertical="center"/>
    </xf>
    <xf numFmtId="169" fontId="0" fillId="0" borderId="3" xfId="15" applyNumberFormat="1" applyFont="1" applyBorder="1" applyAlignment="1">
      <alignment vertical="center"/>
    </xf>
    <xf numFmtId="169" fontId="0" fillId="0" borderId="4" xfId="15" applyNumberFormat="1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vertical="center"/>
    </xf>
    <xf numFmtId="0" fontId="15" fillId="0" borderId="9" xfId="0" applyFont="1" applyBorder="1" applyAlignment="1">
      <alignment horizontal="center"/>
    </xf>
    <xf numFmtId="169" fontId="0" fillId="0" borderId="3" xfId="15" applyNumberFormat="1" applyBorder="1" applyAlignment="1">
      <alignment vertical="center"/>
    </xf>
    <xf numFmtId="0" fontId="3" fillId="0" borderId="2" xfId="0" applyFont="1" applyBorder="1" applyAlignment="1">
      <alignment vertical="center"/>
    </xf>
    <xf numFmtId="169" fontId="3" fillId="0" borderId="2" xfId="15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9" fontId="0" fillId="0" borderId="6" xfId="15" applyNumberFormat="1" applyBorder="1" applyAlignment="1">
      <alignment vertical="center"/>
    </xf>
    <xf numFmtId="0" fontId="3" fillId="0" borderId="4" xfId="0" applyFont="1" applyBorder="1" applyAlignment="1">
      <alignment vertical="center"/>
    </xf>
    <xf numFmtId="169" fontId="4" fillId="0" borderId="1" xfId="15" applyNumberFormat="1" applyFont="1" applyBorder="1" applyAlignment="1">
      <alignment vertical="center"/>
    </xf>
    <xf numFmtId="169" fontId="0" fillId="0" borderId="2" xfId="15" applyNumberFormat="1" applyFont="1" applyBorder="1" applyAlignment="1">
      <alignment/>
    </xf>
    <xf numFmtId="169" fontId="0" fillId="0" borderId="3" xfId="15" applyNumberFormat="1" applyFont="1" applyBorder="1" applyAlignment="1">
      <alignment/>
    </xf>
    <xf numFmtId="0" fontId="0" fillId="0" borderId="5" xfId="0" applyFont="1" applyBorder="1" applyAlignment="1">
      <alignment vertical="center"/>
    </xf>
    <xf numFmtId="169" fontId="0" fillId="0" borderId="5" xfId="15" applyNumberFormat="1" applyFont="1" applyBorder="1" applyAlignment="1">
      <alignment vertical="center"/>
    </xf>
    <xf numFmtId="169" fontId="0" fillId="0" borderId="0" xfId="0" applyNumberFormat="1" applyAlignment="1">
      <alignment vertic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169" fontId="0" fillId="0" borderId="5" xfId="15" applyNumberFormat="1" applyFont="1" applyBorder="1" applyAlignment="1">
      <alignment/>
    </xf>
    <xf numFmtId="169" fontId="0" fillId="0" borderId="6" xfId="15" applyNumberFormat="1" applyFont="1" applyBorder="1" applyAlignment="1">
      <alignment/>
    </xf>
    <xf numFmtId="169" fontId="0" fillId="0" borderId="5" xfId="15" applyNumberFormat="1" applyFont="1" applyBorder="1" applyAlignment="1">
      <alignment horizontal="center" vertical="center"/>
    </xf>
    <xf numFmtId="169" fontId="0" fillId="0" borderId="3" xfId="15" applyNumberFormat="1" applyFont="1" applyBorder="1" applyAlignment="1">
      <alignment horizontal="center" vertical="center"/>
    </xf>
    <xf numFmtId="169" fontId="0" fillId="0" borderId="4" xfId="15" applyNumberFormat="1" applyFont="1" applyBorder="1" applyAlignment="1">
      <alignment horizontal="center" vertical="center"/>
    </xf>
    <xf numFmtId="169" fontId="0" fillId="0" borderId="2" xfId="15" applyNumberFormat="1" applyFont="1" applyBorder="1" applyAlignment="1">
      <alignment horizontal="center" vertical="center"/>
    </xf>
    <xf numFmtId="0" fontId="0" fillId="0" borderId="3" xfId="0" applyBorder="1" applyAlignment="1">
      <alignment horizontal="left" vertical="center" wrapText="1" indent="2"/>
    </xf>
    <xf numFmtId="0" fontId="0" fillId="0" borderId="5" xfId="0" applyBorder="1" applyAlignment="1">
      <alignment horizontal="center" vertical="center"/>
    </xf>
    <xf numFmtId="169" fontId="0" fillId="0" borderId="5" xfId="15" applyNumberFormat="1" applyBorder="1" applyAlignment="1">
      <alignment vertical="center"/>
    </xf>
    <xf numFmtId="0" fontId="0" fillId="0" borderId="5" xfId="0" applyBorder="1" applyAlignment="1">
      <alignment horizontal="left" vertical="center" inden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 indent="2"/>
    </xf>
    <xf numFmtId="169" fontId="0" fillId="0" borderId="0" xfId="0" applyNumberFormat="1" applyBorder="1" applyAlignment="1">
      <alignment vertical="center"/>
    </xf>
    <xf numFmtId="0" fontId="0" fillId="0" borderId="1" xfId="0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69" fontId="3" fillId="0" borderId="11" xfId="15" applyNumberFormat="1" applyFont="1" applyBorder="1" applyAlignment="1">
      <alignment vertical="center"/>
    </xf>
    <xf numFmtId="169" fontId="3" fillId="0" borderId="12" xfId="15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/>
    </xf>
    <xf numFmtId="169" fontId="14" fillId="0" borderId="0" xfId="0" applyNumberFormat="1" applyFont="1" applyAlignment="1">
      <alignment vertical="center"/>
    </xf>
    <xf numFmtId="0" fontId="0" fillId="0" borderId="7" xfId="0" applyFont="1" applyBorder="1" applyAlignment="1">
      <alignment horizontal="right" vertical="center"/>
    </xf>
    <xf numFmtId="169" fontId="0" fillId="0" borderId="7" xfId="15" applyNumberFormat="1" applyFont="1" applyBorder="1" applyAlignment="1">
      <alignment horizontal="center" vertical="center"/>
    </xf>
    <xf numFmtId="168" fontId="8" fillId="0" borderId="0" xfId="15" applyNumberFormat="1" applyFont="1" applyBorder="1" applyAlignment="1">
      <alignment horizontal="center" vertical="top" wrapText="1"/>
    </xf>
    <xf numFmtId="169" fontId="8" fillId="0" borderId="0" xfId="15" applyNumberFormat="1" applyFont="1" applyBorder="1" applyAlignment="1">
      <alignment horizontal="center" vertical="top" wrapText="1"/>
    </xf>
    <xf numFmtId="168" fontId="24" fillId="0" borderId="0" xfId="15" applyNumberFormat="1" applyFont="1" applyBorder="1" applyAlignment="1">
      <alignment wrapText="1"/>
    </xf>
    <xf numFmtId="168" fontId="8" fillId="0" borderId="0" xfId="15" applyNumberFormat="1" applyFont="1" applyBorder="1" applyAlignment="1">
      <alignment wrapText="1"/>
    </xf>
    <xf numFmtId="169" fontId="8" fillId="0" borderId="0" xfId="15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168" fontId="8" fillId="0" borderId="0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23" fillId="0" borderId="1" xfId="0" applyFont="1" applyBorder="1" applyAlignment="1">
      <alignment horizontal="left" vertical="center" wrapText="1"/>
    </xf>
    <xf numFmtId="169" fontId="27" fillId="0" borderId="1" xfId="15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9" fillId="0" borderId="1" xfId="18" applyFont="1" applyBorder="1" applyAlignment="1">
      <alignment horizontal="center"/>
      <protection/>
    </xf>
    <xf numFmtId="0" fontId="13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3" fontId="0" fillId="0" borderId="2" xfId="0" applyNumberForma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3" fontId="0" fillId="0" borderId="3" xfId="0" applyNumberFormat="1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3" fontId="0" fillId="0" borderId="4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5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9" fillId="0" borderId="1" xfId="18" applyFont="1" applyBorder="1" applyAlignment="1">
      <alignment wrapText="1"/>
      <protection/>
    </xf>
    <xf numFmtId="3" fontId="9" fillId="0" borderId="1" xfId="18" applyNumberFormat="1" applyFont="1" applyBorder="1">
      <alignment/>
      <protection/>
    </xf>
    <xf numFmtId="0" fontId="10" fillId="0" borderId="5" xfId="18" applyFont="1" applyBorder="1">
      <alignment/>
      <protection/>
    </xf>
    <xf numFmtId="3" fontId="10" fillId="0" borderId="5" xfId="18" applyNumberFormat="1" applyFont="1" applyBorder="1">
      <alignment/>
      <protection/>
    </xf>
    <xf numFmtId="3" fontId="10" fillId="0" borderId="3" xfId="18" applyNumberFormat="1" applyFont="1" applyBorder="1">
      <alignment/>
      <protection/>
    </xf>
    <xf numFmtId="3" fontId="10" fillId="0" borderId="3" xfId="18" applyNumberFormat="1" applyFont="1" applyBorder="1" applyAlignment="1">
      <alignment/>
      <protection/>
    </xf>
    <xf numFmtId="3" fontId="10" fillId="0" borderId="3" xfId="18" applyNumberFormat="1" applyFont="1" applyBorder="1" applyAlignment="1">
      <alignment wrapText="1"/>
      <protection/>
    </xf>
    <xf numFmtId="0" fontId="10" fillId="0" borderId="4" xfId="18" applyFont="1" applyBorder="1" applyAlignment="1">
      <alignment/>
      <protection/>
    </xf>
    <xf numFmtId="0" fontId="10" fillId="0" borderId="17" xfId="18" applyFont="1" applyBorder="1" applyAlignment="1">
      <alignment horizontal="center" vertical="center"/>
      <protection/>
    </xf>
    <xf numFmtId="0" fontId="10" fillId="0" borderId="5" xfId="18" applyFont="1" applyBorder="1" applyAlignment="1">
      <alignment wrapText="1"/>
      <protection/>
    </xf>
    <xf numFmtId="0" fontId="10" fillId="0" borderId="2" xfId="18" applyFont="1" applyBorder="1" applyAlignment="1">
      <alignment/>
      <protection/>
    </xf>
    <xf numFmtId="0" fontId="10" fillId="0" borderId="2" xfId="18" applyFont="1" applyBorder="1">
      <alignment/>
      <protection/>
    </xf>
    <xf numFmtId="3" fontId="10" fillId="0" borderId="2" xfId="18" applyNumberFormat="1" applyFont="1" applyBorder="1">
      <alignment/>
      <protection/>
    </xf>
    <xf numFmtId="0" fontId="10" fillId="0" borderId="3" xfId="18" applyFont="1" applyBorder="1" applyAlignment="1">
      <alignment wrapText="1"/>
      <protection/>
    </xf>
    <xf numFmtId="0" fontId="10" fillId="0" borderId="4" xfId="18" applyFont="1" applyBorder="1" applyAlignment="1">
      <alignment wrapText="1"/>
      <protection/>
    </xf>
    <xf numFmtId="0" fontId="10" fillId="0" borderId="5" xfId="18" applyFont="1" applyBorder="1" applyAlignment="1">
      <alignment/>
      <protection/>
    </xf>
    <xf numFmtId="0" fontId="10" fillId="0" borderId="18" xfId="18" applyFont="1" applyBorder="1" applyAlignment="1">
      <alignment horizontal="center" vertical="center"/>
      <protection/>
    </xf>
    <xf numFmtId="0" fontId="10" fillId="0" borderId="2" xfId="18" applyFont="1" applyBorder="1" applyAlignment="1">
      <alignment wrapText="1"/>
      <protection/>
    </xf>
    <xf numFmtId="0" fontId="10" fillId="0" borderId="17" xfId="18" applyFont="1" applyBorder="1" applyAlignment="1">
      <alignment wrapText="1"/>
      <protection/>
    </xf>
    <xf numFmtId="0" fontId="10" fillId="0" borderId="1" xfId="18" applyFont="1" applyBorder="1">
      <alignment/>
      <protection/>
    </xf>
    <xf numFmtId="0" fontId="2" fillId="0" borderId="0" xfId="0" applyFont="1" applyBorder="1" applyAlignment="1">
      <alignment vertical="center"/>
    </xf>
    <xf numFmtId="1" fontId="13" fillId="0" borderId="17" xfId="0" applyNumberFormat="1" applyFont="1" applyBorder="1" applyAlignment="1">
      <alignment horizontal="center" vertical="top" wrapText="1"/>
    </xf>
    <xf numFmtId="1" fontId="16" fillId="0" borderId="17" xfId="0" applyNumberFormat="1" applyFont="1" applyBorder="1" applyAlignment="1">
      <alignment horizontal="center" vertical="top" wrapText="1"/>
    </xf>
    <xf numFmtId="1" fontId="16" fillId="0" borderId="17" xfId="15" applyNumberFormat="1" applyFont="1" applyBorder="1" applyAlignment="1">
      <alignment horizontal="center" vertical="top" wrapText="1"/>
    </xf>
    <xf numFmtId="1" fontId="13" fillId="0" borderId="18" xfId="15" applyNumberFormat="1" applyFont="1" applyBorder="1" applyAlignment="1">
      <alignment horizontal="center" vertical="top" wrapText="1"/>
    </xf>
    <xf numFmtId="1" fontId="23" fillId="0" borderId="19" xfId="15" applyNumberFormat="1" applyFont="1" applyBorder="1" applyAlignment="1">
      <alignment horizontal="center" vertical="top" wrapText="1"/>
    </xf>
    <xf numFmtId="3" fontId="16" fillId="0" borderId="17" xfId="15" applyNumberFormat="1" applyFont="1" applyBorder="1" applyAlignment="1">
      <alignment vertical="top" wrapText="1"/>
    </xf>
    <xf numFmtId="3" fontId="13" fillId="0" borderId="3" xfId="0" applyNumberFormat="1" applyFont="1" applyBorder="1" applyAlignment="1">
      <alignment vertical="top" wrapText="1"/>
    </xf>
    <xf numFmtId="3" fontId="16" fillId="0" borderId="3" xfId="0" applyNumberFormat="1" applyFont="1" applyBorder="1" applyAlignment="1">
      <alignment vertical="top" wrapText="1"/>
    </xf>
    <xf numFmtId="3" fontId="13" fillId="0" borderId="3" xfId="15" applyNumberFormat="1" applyFont="1" applyBorder="1" applyAlignment="1">
      <alignment vertical="top" wrapText="1"/>
    </xf>
    <xf numFmtId="3" fontId="13" fillId="0" borderId="4" xfId="15" applyNumberFormat="1" applyFont="1" applyBorder="1" applyAlignment="1">
      <alignment vertical="top" wrapText="1"/>
    </xf>
    <xf numFmtId="3" fontId="16" fillId="0" borderId="3" xfId="15" applyNumberFormat="1" applyFont="1" applyBorder="1" applyAlignment="1">
      <alignment vertical="top" wrapText="1"/>
    </xf>
    <xf numFmtId="3" fontId="26" fillId="0" borderId="3" xfId="15" applyNumberFormat="1" applyFont="1" applyBorder="1" applyAlignment="1">
      <alignment vertical="top" wrapText="1"/>
    </xf>
    <xf numFmtId="3" fontId="13" fillId="0" borderId="6" xfId="15" applyNumberFormat="1" applyFont="1" applyBorder="1" applyAlignment="1">
      <alignment vertical="top" wrapText="1"/>
    </xf>
    <xf numFmtId="3" fontId="16" fillId="0" borderId="6" xfId="15" applyNumberFormat="1" applyFont="1" applyBorder="1" applyAlignment="1">
      <alignment vertical="top" wrapText="1"/>
    </xf>
    <xf numFmtId="3" fontId="26" fillId="0" borderId="6" xfId="15" applyNumberFormat="1" applyFont="1" applyBorder="1" applyAlignment="1">
      <alignment vertical="top" wrapText="1"/>
    </xf>
    <xf numFmtId="3" fontId="13" fillId="0" borderId="6" xfId="0" applyNumberFormat="1" applyFont="1" applyBorder="1" applyAlignment="1">
      <alignment vertical="top" wrapText="1"/>
    </xf>
    <xf numFmtId="3" fontId="16" fillId="0" borderId="6" xfId="0" applyNumberFormat="1" applyFont="1" applyBorder="1" applyAlignment="1">
      <alignment vertical="top" wrapText="1"/>
    </xf>
    <xf numFmtId="3" fontId="26" fillId="0" borderId="6" xfId="0" applyNumberFormat="1" applyFont="1" applyBorder="1" applyAlignment="1">
      <alignment vertical="top" wrapText="1"/>
    </xf>
    <xf numFmtId="3" fontId="13" fillId="0" borderId="4" xfId="0" applyNumberFormat="1" applyFont="1" applyBorder="1" applyAlignment="1">
      <alignment vertical="top" wrapText="1"/>
    </xf>
    <xf numFmtId="3" fontId="24" fillId="0" borderId="2" xfId="0" applyNumberFormat="1" applyFont="1" applyBorder="1" applyAlignment="1">
      <alignment vertical="top" wrapText="1"/>
    </xf>
    <xf numFmtId="3" fontId="26" fillId="0" borderId="18" xfId="15" applyNumberFormat="1" applyFont="1" applyBorder="1" applyAlignment="1">
      <alignment vertical="top" wrapText="1"/>
    </xf>
    <xf numFmtId="1" fontId="13" fillId="0" borderId="20" xfId="0" applyNumberFormat="1" applyFont="1" applyBorder="1" applyAlignment="1">
      <alignment horizontal="center" vertical="top" wrapText="1"/>
    </xf>
    <xf numFmtId="3" fontId="13" fillId="0" borderId="0" xfId="0" applyNumberFormat="1" applyFont="1" applyAlignment="1">
      <alignment/>
    </xf>
    <xf numFmtId="1" fontId="16" fillId="0" borderId="6" xfId="15" applyNumberFormat="1" applyFont="1" applyBorder="1" applyAlignment="1">
      <alignment horizontal="right" vertical="top" wrapText="1"/>
    </xf>
    <xf numFmtId="1" fontId="25" fillId="0" borderId="6" xfId="15" applyNumberFormat="1" applyFont="1" applyBorder="1" applyAlignment="1">
      <alignment horizontal="right" vertical="top" wrapText="1"/>
    </xf>
    <xf numFmtId="1" fontId="16" fillId="0" borderId="5" xfId="0" applyNumberFormat="1" applyFont="1" applyBorder="1" applyAlignment="1">
      <alignment horizontal="right" vertical="top" wrapText="1"/>
    </xf>
    <xf numFmtId="1" fontId="16" fillId="0" borderId="3" xfId="0" applyNumberFormat="1" applyFont="1" applyBorder="1" applyAlignment="1">
      <alignment horizontal="right" vertical="top" wrapText="1"/>
    </xf>
    <xf numFmtId="1" fontId="16" fillId="0" borderId="17" xfId="0" applyNumberFormat="1" applyFont="1" applyBorder="1" applyAlignment="1">
      <alignment horizontal="right" vertical="top" wrapText="1"/>
    </xf>
    <xf numFmtId="1" fontId="16" fillId="0" borderId="6" xfId="0" applyNumberFormat="1" applyFont="1" applyBorder="1" applyAlignment="1">
      <alignment horizontal="right" vertical="top" wrapText="1"/>
    </xf>
    <xf numFmtId="1" fontId="24" fillId="0" borderId="2" xfId="0" applyNumberFormat="1" applyFont="1" applyBorder="1" applyAlignment="1">
      <alignment horizontal="right" vertical="top" wrapText="1"/>
    </xf>
    <xf numFmtId="1" fontId="16" fillId="0" borderId="17" xfId="15" applyNumberFormat="1" applyFont="1" applyBorder="1" applyAlignment="1">
      <alignment horizontal="right" vertical="top" wrapText="1"/>
    </xf>
    <xf numFmtId="1" fontId="13" fillId="0" borderId="18" xfId="15" applyNumberFormat="1" applyFont="1" applyBorder="1" applyAlignment="1">
      <alignment horizontal="right" vertical="top" wrapText="1"/>
    </xf>
    <xf numFmtId="1" fontId="23" fillId="0" borderId="20" xfId="15" applyNumberFormat="1" applyFont="1" applyBorder="1" applyAlignment="1">
      <alignment horizontal="right" vertical="top" wrapText="1"/>
    </xf>
    <xf numFmtId="1" fontId="16" fillId="0" borderId="5" xfId="15" applyNumberFormat="1" applyFont="1" applyBorder="1" applyAlignment="1">
      <alignment horizontal="right" vertical="top" wrapText="1"/>
    </xf>
    <xf numFmtId="1" fontId="13" fillId="0" borderId="5" xfId="15" applyNumberFormat="1" applyFont="1" applyBorder="1" applyAlignment="1">
      <alignment horizontal="right" vertical="top" wrapText="1"/>
    </xf>
    <xf numFmtId="1" fontId="13" fillId="0" borderId="20" xfId="0" applyNumberFormat="1" applyFont="1" applyBorder="1" applyAlignment="1">
      <alignment horizontal="right" vertical="top" wrapText="1"/>
    </xf>
    <xf numFmtId="1" fontId="24" fillId="0" borderId="17" xfId="0" applyNumberFormat="1" applyFont="1" applyBorder="1" applyAlignment="1">
      <alignment horizontal="center" vertical="top" wrapText="1"/>
    </xf>
    <xf numFmtId="1" fontId="24" fillId="0" borderId="17" xfId="0" applyNumberFormat="1" applyFont="1" applyBorder="1" applyAlignment="1">
      <alignment horizontal="right" vertical="top" wrapText="1"/>
    </xf>
    <xf numFmtId="1" fontId="13" fillId="0" borderId="18" xfId="0" applyNumberFormat="1" applyFont="1" applyBorder="1" applyAlignment="1">
      <alignment horizontal="right" vertical="top" wrapText="1"/>
    </xf>
    <xf numFmtId="3" fontId="13" fillId="0" borderId="6" xfId="15" applyNumberFormat="1" applyFont="1" applyFill="1" applyBorder="1" applyAlignment="1">
      <alignment vertical="top" wrapText="1"/>
    </xf>
    <xf numFmtId="0" fontId="16" fillId="2" borderId="1" xfId="0" applyFont="1" applyFill="1" applyBorder="1" applyAlignment="1" quotePrefix="1">
      <alignment horizontal="center" vertical="center" wrapText="1"/>
    </xf>
    <xf numFmtId="0" fontId="16" fillId="2" borderId="18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horizontal="center" vertical="center" wrapText="1"/>
    </xf>
    <xf numFmtId="3" fontId="13" fillId="0" borderId="3" xfId="15" applyNumberFormat="1" applyFont="1" applyFill="1" applyBorder="1" applyAlignment="1">
      <alignment vertical="top" wrapText="1"/>
    </xf>
    <xf numFmtId="3" fontId="13" fillId="0" borderId="6" xfId="15" applyNumberFormat="1" applyFont="1" applyBorder="1" applyAlignment="1">
      <alignment vertical="center" wrapText="1"/>
    </xf>
    <xf numFmtId="3" fontId="16" fillId="0" borderId="6" xfId="15" applyNumberFormat="1" applyFont="1" applyBorder="1" applyAlignment="1">
      <alignment vertical="center" wrapText="1"/>
    </xf>
    <xf numFmtId="3" fontId="26" fillId="0" borderId="6" xfId="15" applyNumberFormat="1" applyFont="1" applyBorder="1" applyAlignment="1">
      <alignment vertical="center" wrapText="1"/>
    </xf>
    <xf numFmtId="3" fontId="13" fillId="0" borderId="3" xfId="15" applyNumberFormat="1" applyFont="1" applyBorder="1" applyAlignment="1">
      <alignment vertical="center" wrapText="1"/>
    </xf>
    <xf numFmtId="0" fontId="13" fillId="0" borderId="0" xfId="0" applyFont="1" applyAlignment="1" quotePrefix="1">
      <alignment/>
    </xf>
    <xf numFmtId="0" fontId="3" fillId="0" borderId="21" xfId="0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0" fontId="10" fillId="0" borderId="18" xfId="0" applyFont="1" applyBorder="1" applyAlignment="1">
      <alignment horizontal="center" vertical="center" wrapText="1"/>
    </xf>
    <xf numFmtId="3" fontId="22" fillId="0" borderId="1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169" fontId="3" fillId="0" borderId="20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20" xfId="0" applyFont="1" applyBorder="1" applyAlignment="1">
      <alignment vertical="center"/>
    </xf>
    <xf numFmtId="3" fontId="3" fillId="0" borderId="28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69" fontId="3" fillId="0" borderId="0" xfId="0" applyNumberFormat="1" applyFont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169" fontId="4" fillId="0" borderId="0" xfId="15" applyNumberFormat="1" applyFont="1" applyBorder="1" applyAlignment="1">
      <alignment vertical="center"/>
    </xf>
    <xf numFmtId="169" fontId="0" fillId="0" borderId="0" xfId="15" applyNumberFormat="1" applyBorder="1" applyAlignment="1">
      <alignment vertical="center"/>
    </xf>
    <xf numFmtId="169" fontId="15" fillId="0" borderId="0" xfId="15" applyNumberFormat="1" applyFont="1" applyBorder="1" applyAlignment="1">
      <alignment vertical="center"/>
    </xf>
    <xf numFmtId="169" fontId="22" fillId="0" borderId="0" xfId="15" applyNumberFormat="1" applyFont="1" applyBorder="1" applyAlignment="1">
      <alignment vertical="center"/>
    </xf>
    <xf numFmtId="169" fontId="3" fillId="0" borderId="0" xfId="15" applyNumberFormat="1" applyFont="1" applyBorder="1" applyAlignment="1">
      <alignment vertical="center"/>
    </xf>
    <xf numFmtId="169" fontId="0" fillId="0" borderId="0" xfId="15" applyNumberFormat="1" applyFont="1" applyBorder="1" applyAlignment="1">
      <alignment vertical="center"/>
    </xf>
    <xf numFmtId="0" fontId="0" fillId="0" borderId="8" xfId="0" applyBorder="1" applyAlignment="1">
      <alignment horizontal="right" vertical="center"/>
    </xf>
    <xf numFmtId="169" fontId="22" fillId="0" borderId="29" xfId="15" applyNumberFormat="1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0" fillId="0" borderId="31" xfId="0" applyBorder="1" applyAlignment="1">
      <alignment horizontal="right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169" fontId="6" fillId="0" borderId="0" xfId="0" applyNumberFormat="1" applyFont="1" applyAlignment="1">
      <alignment/>
    </xf>
    <xf numFmtId="169" fontId="13" fillId="0" borderId="0" xfId="0" applyNumberFormat="1" applyFont="1" applyAlignment="1">
      <alignment/>
    </xf>
    <xf numFmtId="169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26" fillId="0" borderId="6" xfId="15" applyNumberFormat="1" applyFont="1" applyFill="1" applyBorder="1" applyAlignment="1">
      <alignment vertical="top" wrapText="1"/>
    </xf>
    <xf numFmtId="3" fontId="28" fillId="0" borderId="6" xfId="0" applyNumberFormat="1" applyFont="1" applyFill="1" applyBorder="1" applyAlignment="1">
      <alignment vertical="top" wrapText="1"/>
    </xf>
    <xf numFmtId="1" fontId="13" fillId="0" borderId="18" xfId="0" applyNumberFormat="1" applyFont="1" applyBorder="1" applyAlignment="1">
      <alignment horizontal="center" vertical="top" wrapText="1"/>
    </xf>
    <xf numFmtId="1" fontId="13" fillId="0" borderId="34" xfId="0" applyNumberFormat="1" applyFont="1" applyBorder="1" applyAlignment="1">
      <alignment horizontal="right" vertical="top" wrapText="1"/>
    </xf>
    <xf numFmtId="1" fontId="24" fillId="0" borderId="7" xfId="0" applyNumberFormat="1" applyFont="1" applyBorder="1" applyAlignment="1">
      <alignment horizontal="center" vertical="top" wrapText="1"/>
    </xf>
    <xf numFmtId="1" fontId="13" fillId="0" borderId="17" xfId="15" applyNumberFormat="1" applyFont="1" applyBorder="1" applyAlignment="1">
      <alignment horizontal="center" vertical="top" wrapText="1"/>
    </xf>
    <xf numFmtId="1" fontId="16" fillId="0" borderId="35" xfId="0" applyNumberFormat="1" applyFont="1" applyBorder="1" applyAlignment="1">
      <alignment horizontal="right" vertical="top" wrapText="1"/>
    </xf>
    <xf numFmtId="3" fontId="24" fillId="0" borderId="2" xfId="15" applyNumberFormat="1" applyFont="1" applyBorder="1" applyAlignment="1">
      <alignment vertical="top" wrapText="1"/>
    </xf>
    <xf numFmtId="1" fontId="16" fillId="0" borderId="3" xfId="15" applyNumberFormat="1" applyFont="1" applyBorder="1" applyAlignment="1">
      <alignment horizontal="right" vertical="top" wrapText="1"/>
    </xf>
    <xf numFmtId="3" fontId="28" fillId="0" borderId="3" xfId="0" applyNumberFormat="1" applyFont="1" applyFill="1" applyBorder="1" applyAlignment="1">
      <alignment vertical="top" wrapText="1"/>
    </xf>
    <xf numFmtId="3" fontId="13" fillId="0" borderId="3" xfId="0" applyNumberFormat="1" applyFont="1" applyFill="1" applyBorder="1" applyAlignment="1">
      <alignment vertical="top" wrapText="1"/>
    </xf>
    <xf numFmtId="3" fontId="16" fillId="0" borderId="3" xfId="0" applyNumberFormat="1" applyFont="1" applyFill="1" applyBorder="1" applyAlignment="1">
      <alignment vertical="top" wrapText="1"/>
    </xf>
    <xf numFmtId="3" fontId="24" fillId="0" borderId="3" xfId="0" applyNumberFormat="1" applyFont="1" applyBorder="1" applyAlignment="1">
      <alignment vertical="top" wrapText="1"/>
    </xf>
    <xf numFmtId="1" fontId="24" fillId="0" borderId="6" xfId="0" applyNumberFormat="1" applyFont="1" applyBorder="1" applyAlignment="1">
      <alignment horizontal="right" vertical="top" wrapText="1"/>
    </xf>
    <xf numFmtId="3" fontId="16" fillId="0" borderId="17" xfId="0" applyNumberFormat="1" applyFont="1" applyFill="1" applyBorder="1" applyAlignment="1">
      <alignment vertical="top" wrapText="1"/>
    </xf>
    <xf numFmtId="3" fontId="26" fillId="0" borderId="3" xfId="0" applyNumberFormat="1" applyFont="1" applyBorder="1" applyAlignment="1">
      <alignment vertical="top" wrapText="1"/>
    </xf>
    <xf numFmtId="1" fontId="13" fillId="0" borderId="5" xfId="0" applyNumberFormat="1" applyFont="1" applyBorder="1" applyAlignment="1">
      <alignment horizontal="right" vertical="top" wrapText="1"/>
    </xf>
    <xf numFmtId="1" fontId="13" fillId="0" borderId="17" xfId="0" applyNumberFormat="1" applyFont="1" applyBorder="1" applyAlignment="1">
      <alignment horizontal="right" vertical="top" wrapText="1"/>
    </xf>
    <xf numFmtId="1" fontId="13" fillId="0" borderId="17" xfId="15" applyNumberFormat="1" applyFont="1" applyBorder="1" applyAlignment="1">
      <alignment horizontal="right" vertical="top" wrapText="1"/>
    </xf>
    <xf numFmtId="0" fontId="3" fillId="0" borderId="36" xfId="0" applyFont="1" applyBorder="1" applyAlignment="1">
      <alignment vertical="center" wrapText="1"/>
    </xf>
    <xf numFmtId="0" fontId="0" fillId="0" borderId="37" xfId="0" applyBorder="1" applyAlignment="1">
      <alignment horizontal="right" vertical="center"/>
    </xf>
    <xf numFmtId="0" fontId="0" fillId="0" borderId="37" xfId="0" applyFont="1" applyBorder="1" applyAlignment="1">
      <alignment vertical="center"/>
    </xf>
    <xf numFmtId="0" fontId="0" fillId="0" borderId="37" xfId="0" applyFont="1" applyBorder="1" applyAlignment="1">
      <alignment vertical="center" wrapText="1"/>
    </xf>
    <xf numFmtId="0" fontId="3" fillId="0" borderId="38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0" fillId="0" borderId="39" xfId="0" applyBorder="1" applyAlignment="1">
      <alignment horizontal="right" vertical="center"/>
    </xf>
    <xf numFmtId="0" fontId="0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0" fillId="0" borderId="40" xfId="0" applyBorder="1" applyAlignment="1">
      <alignment horizontal="right" vertical="center"/>
    </xf>
    <xf numFmtId="0" fontId="0" fillId="0" borderId="40" xfId="0" applyFont="1" applyBorder="1" applyAlignment="1">
      <alignment vertical="center" wrapText="1"/>
    </xf>
    <xf numFmtId="176" fontId="3" fillId="0" borderId="39" xfId="0" applyNumberFormat="1" applyFont="1" applyBorder="1" applyAlignment="1">
      <alignment vertical="center"/>
    </xf>
    <xf numFmtId="0" fontId="0" fillId="0" borderId="39" xfId="0" applyFont="1" applyBorder="1" applyAlignment="1">
      <alignment vertical="center" wrapText="1"/>
    </xf>
    <xf numFmtId="0" fontId="3" fillId="0" borderId="41" xfId="0" applyFont="1" applyBorder="1" applyAlignment="1">
      <alignment vertical="center"/>
    </xf>
    <xf numFmtId="0" fontId="0" fillId="0" borderId="41" xfId="0" applyBorder="1" applyAlignment="1">
      <alignment horizontal="right" vertical="center"/>
    </xf>
    <xf numFmtId="0" fontId="0" fillId="0" borderId="41" xfId="0" applyFont="1" applyBorder="1" applyAlignment="1">
      <alignment vertical="center" wrapText="1"/>
    </xf>
    <xf numFmtId="0" fontId="0" fillId="0" borderId="42" xfId="0" applyBorder="1" applyAlignment="1">
      <alignment vertical="center"/>
    </xf>
    <xf numFmtId="0" fontId="4" fillId="0" borderId="42" xfId="0" applyFont="1" applyBorder="1" applyAlignment="1">
      <alignment vertical="center" wrapText="1"/>
    </xf>
    <xf numFmtId="3" fontId="4" fillId="0" borderId="43" xfId="15" applyNumberFormat="1" applyFont="1" applyBorder="1" applyAlignment="1">
      <alignment vertical="center"/>
    </xf>
    <xf numFmtId="3" fontId="4" fillId="0" borderId="40" xfId="15" applyNumberFormat="1" applyFont="1" applyBorder="1" applyAlignment="1">
      <alignment vertical="center"/>
    </xf>
    <xf numFmtId="3" fontId="0" fillId="0" borderId="30" xfId="15" applyNumberFormat="1" applyBorder="1" applyAlignment="1">
      <alignment vertical="center" wrapText="1"/>
    </xf>
    <xf numFmtId="3" fontId="15" fillId="0" borderId="30" xfId="15" applyNumberFormat="1" applyFont="1" applyBorder="1" applyAlignment="1">
      <alignment vertical="center"/>
    </xf>
    <xf numFmtId="3" fontId="15" fillId="0" borderId="8" xfId="15" applyNumberFormat="1" applyFont="1" applyBorder="1" applyAlignment="1">
      <alignment vertical="center"/>
    </xf>
    <xf numFmtId="3" fontId="0" fillId="0" borderId="37" xfId="15" applyNumberFormat="1" applyFont="1" applyBorder="1" applyAlignment="1">
      <alignment vertical="center"/>
    </xf>
    <xf numFmtId="3" fontId="0" fillId="0" borderId="8" xfId="15" applyNumberFormat="1" applyFont="1" applyBorder="1" applyAlignment="1">
      <alignment vertical="center"/>
    </xf>
    <xf numFmtId="3" fontId="0" fillId="0" borderId="37" xfId="15" applyNumberFormat="1" applyFont="1" applyBorder="1" applyAlignment="1">
      <alignment vertical="center" wrapText="1"/>
    </xf>
    <xf numFmtId="3" fontId="0" fillId="0" borderId="8" xfId="15" applyNumberFormat="1" applyFont="1" applyBorder="1" applyAlignment="1">
      <alignment vertical="center" wrapText="1"/>
    </xf>
    <xf numFmtId="3" fontId="0" fillId="0" borderId="31" xfId="15" applyNumberFormat="1" applyFont="1" applyBorder="1" applyAlignment="1">
      <alignment vertical="center"/>
    </xf>
    <xf numFmtId="3" fontId="3" fillId="0" borderId="39" xfId="15" applyNumberFormat="1" applyFont="1" applyBorder="1" applyAlignment="1">
      <alignment vertical="center"/>
    </xf>
    <xf numFmtId="3" fontId="4" fillId="0" borderId="41" xfId="15" applyNumberFormat="1" applyFont="1" applyBorder="1" applyAlignment="1">
      <alignment vertical="center"/>
    </xf>
    <xf numFmtId="3" fontId="0" fillId="0" borderId="40" xfId="15" applyNumberFormat="1" applyFont="1" applyBorder="1" applyAlignment="1">
      <alignment vertical="center" wrapText="1"/>
    </xf>
    <xf numFmtId="3" fontId="4" fillId="0" borderId="41" xfId="15" applyNumberFormat="1" applyFont="1" applyBorder="1" applyAlignment="1">
      <alignment vertical="center" wrapText="1"/>
    </xf>
    <xf numFmtId="3" fontId="0" fillId="0" borderId="39" xfId="15" applyNumberFormat="1" applyFont="1" applyBorder="1" applyAlignment="1">
      <alignment vertical="center" wrapText="1"/>
    </xf>
    <xf numFmtId="3" fontId="0" fillId="0" borderId="41" xfId="15" applyNumberFormat="1" applyFont="1" applyBorder="1" applyAlignment="1">
      <alignment vertical="center" wrapText="1"/>
    </xf>
    <xf numFmtId="3" fontId="4" fillId="0" borderId="0" xfId="15" applyNumberFormat="1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8" xfId="0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181" fontId="4" fillId="0" borderId="46" xfId="15" applyNumberFormat="1" applyFont="1" applyBorder="1" applyAlignment="1">
      <alignment vertical="center"/>
    </xf>
    <xf numFmtId="169" fontId="15" fillId="0" borderId="47" xfId="15" applyNumberFormat="1" applyFont="1" applyBorder="1" applyAlignment="1">
      <alignment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49" xfId="0" applyFont="1" applyBorder="1" applyAlignment="1">
      <alignment horizontal="right" vertical="center"/>
    </xf>
    <xf numFmtId="0" fontId="4" fillId="0" borderId="49" xfId="0" applyFont="1" applyBorder="1" applyAlignment="1">
      <alignment horizontal="center" vertical="center"/>
    </xf>
    <xf numFmtId="3" fontId="4" fillId="0" borderId="50" xfId="15" applyNumberFormat="1" applyFont="1" applyBorder="1" applyAlignment="1">
      <alignment vertical="center"/>
    </xf>
    <xf numFmtId="10" fontId="6" fillId="0" borderId="51" xfId="20" applyNumberFormat="1" applyFont="1" applyBorder="1" applyAlignment="1">
      <alignment horizontal="center" vertical="center"/>
    </xf>
    <xf numFmtId="10" fontId="6" fillId="0" borderId="52" xfId="20" applyNumberFormat="1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10" fontId="6" fillId="0" borderId="54" xfId="20" applyNumberFormat="1" applyFont="1" applyBorder="1" applyAlignment="1">
      <alignment horizontal="center" vertical="center"/>
    </xf>
    <xf numFmtId="0" fontId="0" fillId="0" borderId="36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10" fontId="6" fillId="0" borderId="55" xfId="20" applyNumberFormat="1" applyFont="1" applyBorder="1" applyAlignment="1">
      <alignment horizontal="center" vertical="center"/>
    </xf>
    <xf numFmtId="10" fontId="6" fillId="0" borderId="56" xfId="20" applyNumberFormat="1" applyFont="1" applyBorder="1" applyAlignment="1">
      <alignment horizontal="center" vertical="center"/>
    </xf>
    <xf numFmtId="0" fontId="4" fillId="0" borderId="57" xfId="0" applyFont="1" applyBorder="1" applyAlignment="1">
      <alignment vertical="center"/>
    </xf>
    <xf numFmtId="10" fontId="6" fillId="0" borderId="58" xfId="20" applyNumberFormat="1" applyFont="1" applyBorder="1" applyAlignment="1">
      <alignment horizontal="center" vertical="center"/>
    </xf>
    <xf numFmtId="10" fontId="4" fillId="0" borderId="55" xfId="20" applyNumberFormat="1" applyFont="1" applyBorder="1" applyAlignment="1">
      <alignment horizontal="center" vertical="center"/>
    </xf>
    <xf numFmtId="0" fontId="4" fillId="0" borderId="59" xfId="0" applyFont="1" applyBorder="1" applyAlignment="1">
      <alignment vertical="center"/>
    </xf>
    <xf numFmtId="0" fontId="0" fillId="0" borderId="60" xfId="0" applyBorder="1" applyAlignment="1">
      <alignment vertical="center"/>
    </xf>
    <xf numFmtId="43" fontId="4" fillId="0" borderId="55" xfId="15" applyNumberFormat="1" applyFont="1" applyBorder="1" applyAlignment="1">
      <alignment horizontal="center" vertical="center"/>
    </xf>
    <xf numFmtId="0" fontId="4" fillId="0" borderId="57" xfId="0" applyFont="1" applyBorder="1" applyAlignment="1">
      <alignment vertical="center" wrapText="1"/>
    </xf>
    <xf numFmtId="0" fontId="4" fillId="0" borderId="61" xfId="0" applyFont="1" applyBorder="1" applyAlignment="1">
      <alignment vertical="center" wrapText="1"/>
    </xf>
    <xf numFmtId="0" fontId="4" fillId="0" borderId="61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43" fontId="6" fillId="0" borderId="55" xfId="15" applyFont="1" applyBorder="1" applyAlignment="1">
      <alignment horizontal="center" vertical="center"/>
    </xf>
    <xf numFmtId="0" fontId="3" fillId="0" borderId="45" xfId="0" applyFont="1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45" xfId="0" applyFont="1" applyBorder="1" applyAlignment="1">
      <alignment vertical="center" wrapText="1"/>
    </xf>
    <xf numFmtId="3" fontId="0" fillId="0" borderId="45" xfId="15" applyNumberFormat="1" applyFont="1" applyBorder="1" applyAlignment="1">
      <alignment vertical="center" wrapText="1"/>
    </xf>
    <xf numFmtId="10" fontId="6" fillId="0" borderId="62" xfId="20" applyNumberFormat="1" applyFont="1" applyBorder="1" applyAlignment="1">
      <alignment horizontal="center" vertical="center"/>
    </xf>
    <xf numFmtId="10" fontId="6" fillId="0" borderId="63" xfId="20" applyNumberFormat="1" applyFont="1" applyBorder="1" applyAlignment="1">
      <alignment horizontal="center" vertical="center"/>
    </xf>
    <xf numFmtId="3" fontId="4" fillId="0" borderId="64" xfId="15" applyNumberFormat="1" applyFont="1" applyBorder="1" applyAlignment="1">
      <alignment vertical="center"/>
    </xf>
    <xf numFmtId="1" fontId="23" fillId="0" borderId="7" xfId="0" applyNumberFormat="1" applyFont="1" applyBorder="1" applyAlignment="1" quotePrefix="1">
      <alignment horizontal="center" vertical="top" wrapText="1"/>
    </xf>
    <xf numFmtId="1" fontId="23" fillId="0" borderId="7" xfId="0" applyNumberFormat="1" applyFont="1" applyBorder="1" applyAlignment="1">
      <alignment horizontal="right" vertical="top" wrapText="1"/>
    </xf>
    <xf numFmtId="3" fontId="23" fillId="0" borderId="7" xfId="0" applyNumberFormat="1" applyFont="1" applyBorder="1" applyAlignment="1">
      <alignment vertical="top" wrapText="1"/>
    </xf>
    <xf numFmtId="1" fontId="23" fillId="0" borderId="7" xfId="0" applyNumberFormat="1" applyFont="1" applyBorder="1" applyAlignment="1">
      <alignment horizontal="center" vertical="top" wrapText="1"/>
    </xf>
    <xf numFmtId="3" fontId="23" fillId="0" borderId="7" xfId="15" applyNumberFormat="1" applyFont="1" applyBorder="1" applyAlignment="1">
      <alignment vertical="top" wrapText="1"/>
    </xf>
    <xf numFmtId="3" fontId="16" fillId="0" borderId="65" xfId="0" applyNumberFormat="1" applyFont="1" applyBorder="1" applyAlignment="1">
      <alignment vertical="top" wrapText="1"/>
    </xf>
    <xf numFmtId="3" fontId="13" fillId="0" borderId="65" xfId="0" applyNumberFormat="1" applyFont="1" applyBorder="1" applyAlignment="1">
      <alignment vertical="top" wrapText="1"/>
    </xf>
    <xf numFmtId="3" fontId="16" fillId="0" borderId="5" xfId="15" applyNumberFormat="1" applyFont="1" applyBorder="1" applyAlignment="1">
      <alignment vertical="top" wrapText="1"/>
    </xf>
    <xf numFmtId="3" fontId="4" fillId="0" borderId="7" xfId="15" applyNumberFormat="1" applyFont="1" applyBorder="1" applyAlignment="1">
      <alignment vertical="top" wrapText="1"/>
    </xf>
    <xf numFmtId="3" fontId="13" fillId="0" borderId="3" xfId="15" applyNumberFormat="1" applyFont="1" applyBorder="1" applyAlignment="1">
      <alignment horizontal="left" vertical="top" wrapText="1"/>
    </xf>
    <xf numFmtId="3" fontId="16" fillId="0" borderId="3" xfId="15" applyNumberFormat="1" applyFont="1" applyBorder="1" applyAlignment="1">
      <alignment horizontal="left" vertical="top" wrapText="1"/>
    </xf>
    <xf numFmtId="3" fontId="26" fillId="0" borderId="3" xfId="15" applyNumberFormat="1" applyFont="1" applyBorder="1" applyAlignment="1">
      <alignment horizontal="left" vertical="top" wrapText="1"/>
    </xf>
    <xf numFmtId="3" fontId="16" fillId="0" borderId="6" xfId="15" applyNumberFormat="1" applyFont="1" applyBorder="1" applyAlignment="1">
      <alignment horizontal="left" vertical="top" wrapText="1"/>
    </xf>
    <xf numFmtId="3" fontId="13" fillId="0" borderId="6" xfId="15" applyNumberFormat="1" applyFont="1" applyBorder="1" applyAlignment="1">
      <alignment horizontal="left" vertical="top" wrapText="1"/>
    </xf>
    <xf numFmtId="3" fontId="16" fillId="0" borderId="6" xfId="0" applyNumberFormat="1" applyFont="1" applyFill="1" applyBorder="1" applyAlignment="1">
      <alignment vertical="top" wrapText="1"/>
    </xf>
    <xf numFmtId="3" fontId="13" fillId="0" borderId="6" xfId="0" applyNumberFormat="1" applyFont="1" applyFill="1" applyBorder="1" applyAlignment="1">
      <alignment vertical="top" wrapText="1"/>
    </xf>
    <xf numFmtId="3" fontId="16" fillId="0" borderId="3" xfId="15" applyNumberFormat="1" applyFont="1" applyFill="1" applyBorder="1" applyAlignment="1">
      <alignment vertical="top" wrapText="1"/>
    </xf>
    <xf numFmtId="3" fontId="24" fillId="0" borderId="3" xfId="15" applyNumberFormat="1" applyFont="1" applyBorder="1" applyAlignment="1">
      <alignment vertical="top" wrapText="1"/>
    </xf>
    <xf numFmtId="3" fontId="8" fillId="0" borderId="3" xfId="15" applyNumberFormat="1" applyFont="1" applyBorder="1" applyAlignment="1">
      <alignment vertical="top" wrapText="1"/>
    </xf>
    <xf numFmtId="3" fontId="16" fillId="0" borderId="17" xfId="15" applyNumberFormat="1" applyFont="1" applyFill="1" applyBorder="1" applyAlignment="1">
      <alignment vertical="top" wrapText="1"/>
    </xf>
    <xf numFmtId="3" fontId="13" fillId="0" borderId="18" xfId="15" applyNumberFormat="1" applyFont="1" applyBorder="1" applyAlignment="1">
      <alignment vertical="top" wrapText="1"/>
    </xf>
    <xf numFmtId="3" fontId="13" fillId="0" borderId="5" xfId="15" applyNumberFormat="1" applyFont="1" applyBorder="1" applyAlignment="1">
      <alignment vertical="top" wrapText="1"/>
    </xf>
    <xf numFmtId="3" fontId="16" fillId="0" borderId="5" xfId="0" applyNumberFormat="1" applyFont="1" applyBorder="1" applyAlignment="1">
      <alignment vertical="top" wrapText="1"/>
    </xf>
    <xf numFmtId="3" fontId="13" fillId="0" borderId="20" xfId="0" applyNumberFormat="1" applyFont="1" applyBorder="1" applyAlignment="1">
      <alignment/>
    </xf>
    <xf numFmtId="3" fontId="16" fillId="0" borderId="20" xfId="0" applyNumberFormat="1" applyFont="1" applyBorder="1" applyAlignment="1">
      <alignment vertical="top" wrapText="1"/>
    </xf>
    <xf numFmtId="3" fontId="4" fillId="0" borderId="66" xfId="0" applyNumberFormat="1" applyFont="1" applyBorder="1" applyAlignment="1">
      <alignment horizontal="center" vertical="center"/>
    </xf>
    <xf numFmtId="1" fontId="23" fillId="0" borderId="7" xfId="15" applyNumberFormat="1" applyFont="1" applyBorder="1" applyAlignment="1">
      <alignment horizontal="center" vertical="top" wrapText="1"/>
    </xf>
    <xf numFmtId="1" fontId="23" fillId="0" borderId="2" xfId="15" applyNumberFormat="1" applyFont="1" applyBorder="1" applyAlignment="1">
      <alignment horizontal="right" vertical="top" wrapText="1"/>
    </xf>
    <xf numFmtId="3" fontId="23" fillId="0" borderId="2" xfId="15" applyNumberFormat="1" applyFont="1" applyBorder="1" applyAlignment="1">
      <alignment vertical="top" wrapText="1"/>
    </xf>
    <xf numFmtId="1" fontId="23" fillId="0" borderId="7" xfId="15" applyNumberFormat="1" applyFont="1" applyBorder="1" applyAlignment="1">
      <alignment horizontal="right" vertical="top" wrapText="1"/>
    </xf>
    <xf numFmtId="3" fontId="27" fillId="0" borderId="7" xfId="15" applyNumberFormat="1" applyFont="1" applyBorder="1" applyAlignment="1">
      <alignment vertical="top" wrapText="1"/>
    </xf>
    <xf numFmtId="1" fontId="23" fillId="0" borderId="5" xfId="0" applyNumberFormat="1" applyFont="1" applyBorder="1" applyAlignment="1">
      <alignment horizontal="right" vertical="top" wrapText="1"/>
    </xf>
    <xf numFmtId="3" fontId="23" fillId="0" borderId="5" xfId="0" applyNumberFormat="1" applyFont="1" applyBorder="1" applyAlignment="1">
      <alignment vertical="top" wrapText="1"/>
    </xf>
    <xf numFmtId="3" fontId="23" fillId="0" borderId="5" xfId="15" applyNumberFormat="1" applyFont="1" applyBorder="1" applyAlignment="1">
      <alignment vertical="top" wrapText="1"/>
    </xf>
    <xf numFmtId="3" fontId="23" fillId="0" borderId="7" xfId="15" applyNumberFormat="1" applyFont="1" applyBorder="1" applyAlignment="1">
      <alignment vertical="center" wrapText="1"/>
    </xf>
    <xf numFmtId="3" fontId="16" fillId="0" borderId="3" xfId="15" applyNumberFormat="1" applyFont="1" applyBorder="1" applyAlignment="1">
      <alignment vertical="center" wrapText="1"/>
    </xf>
    <xf numFmtId="1" fontId="23" fillId="0" borderId="7" xfId="15" applyNumberFormat="1" applyFont="1" applyBorder="1" applyAlignment="1" quotePrefix="1">
      <alignment horizontal="center" vertical="top" wrapText="1"/>
    </xf>
    <xf numFmtId="1" fontId="16" fillId="0" borderId="6" xfId="15" applyNumberFormat="1" applyFont="1" applyBorder="1" applyAlignment="1" quotePrefix="1">
      <alignment horizontal="right" vertical="top" wrapText="1"/>
    </xf>
    <xf numFmtId="3" fontId="16" fillId="0" borderId="18" xfId="15" applyNumberFormat="1" applyFont="1" applyBorder="1" applyAlignment="1">
      <alignment vertical="top" wrapText="1"/>
    </xf>
    <xf numFmtId="1" fontId="4" fillId="0" borderId="67" xfId="0" applyNumberFormat="1" applyFont="1" applyBorder="1" applyAlignment="1">
      <alignment horizontal="center" vertical="center"/>
    </xf>
    <xf numFmtId="1" fontId="4" fillId="0" borderId="68" xfId="0" applyNumberFormat="1" applyFont="1" applyBorder="1" applyAlignment="1">
      <alignment horizontal="right" vertical="center"/>
    </xf>
    <xf numFmtId="3" fontId="4" fillId="0" borderId="66" xfId="15" applyNumberFormat="1" applyFont="1" applyBorder="1" applyAlignment="1">
      <alignment vertical="center"/>
    </xf>
    <xf numFmtId="3" fontId="4" fillId="0" borderId="66" xfId="15" applyNumberFormat="1" applyFont="1" applyFill="1" applyBorder="1" applyAlignment="1">
      <alignment vertical="center"/>
    </xf>
    <xf numFmtId="3" fontId="0" fillId="0" borderId="2" xfId="15" applyNumberFormat="1" applyFont="1" applyBorder="1" applyAlignment="1">
      <alignment vertical="center"/>
    </xf>
    <xf numFmtId="3" fontId="3" fillId="0" borderId="2" xfId="15" applyNumberFormat="1" applyFont="1" applyBorder="1" applyAlignment="1">
      <alignment vertical="center"/>
    </xf>
    <xf numFmtId="3" fontId="0" fillId="0" borderId="3" xfId="15" applyNumberFormat="1" applyFont="1" applyBorder="1" applyAlignment="1">
      <alignment vertical="center"/>
    </xf>
    <xf numFmtId="3" fontId="3" fillId="0" borderId="3" xfId="15" applyNumberFormat="1" applyFont="1" applyBorder="1" applyAlignment="1">
      <alignment vertical="center"/>
    </xf>
    <xf numFmtId="3" fontId="0" fillId="0" borderId="3" xfId="15" applyNumberFormat="1" applyBorder="1" applyAlignment="1">
      <alignment vertical="center"/>
    </xf>
    <xf numFmtId="3" fontId="0" fillId="0" borderId="3" xfId="15" applyNumberFormat="1" applyFont="1" applyBorder="1" applyAlignment="1">
      <alignment vertical="center"/>
    </xf>
    <xf numFmtId="3" fontId="0" fillId="0" borderId="6" xfId="15" applyNumberFormat="1" applyBorder="1" applyAlignment="1">
      <alignment vertical="center"/>
    </xf>
    <xf numFmtId="3" fontId="0" fillId="0" borderId="6" xfId="15" applyNumberFormat="1" applyFont="1" applyBorder="1" applyAlignment="1">
      <alignment vertical="center"/>
    </xf>
    <xf numFmtId="3" fontId="3" fillId="0" borderId="1" xfId="15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" fontId="4" fillId="0" borderId="1" xfId="15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3" fontId="0" fillId="0" borderId="5" xfId="0" applyNumberFormat="1" applyBorder="1" applyAlignment="1">
      <alignment vertical="center"/>
    </xf>
    <xf numFmtId="3" fontId="0" fillId="0" borderId="5" xfId="0" applyNumberFormat="1" applyBorder="1" applyAlignment="1">
      <alignment horizontal="center" vertical="center"/>
    </xf>
    <xf numFmtId="3" fontId="0" fillId="0" borderId="3" xfId="15" applyNumberFormat="1" applyBorder="1" applyAlignment="1">
      <alignment horizontal="center" vertical="center"/>
    </xf>
    <xf numFmtId="3" fontId="0" fillId="0" borderId="5" xfId="15" applyNumberFormat="1" applyBorder="1" applyAlignment="1">
      <alignment vertical="center"/>
    </xf>
    <xf numFmtId="3" fontId="0" fillId="0" borderId="5" xfId="15" applyNumberFormat="1" applyBorder="1" applyAlignment="1">
      <alignment horizontal="center" vertical="center"/>
    </xf>
    <xf numFmtId="3" fontId="0" fillId="0" borderId="6" xfId="15" applyNumberFormat="1" applyBorder="1" applyAlignment="1">
      <alignment horizontal="center" vertical="center"/>
    </xf>
    <xf numFmtId="3" fontId="0" fillId="0" borderId="5" xfId="15" applyNumberFormat="1" applyFont="1" applyBorder="1" applyAlignment="1">
      <alignment vertical="center"/>
    </xf>
    <xf numFmtId="3" fontId="0" fillId="0" borderId="5" xfId="15" applyNumberFormat="1" applyFont="1" applyBorder="1" applyAlignment="1">
      <alignment horizontal="center" vertical="center"/>
    </xf>
    <xf numFmtId="3" fontId="4" fillId="0" borderId="1" xfId="15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69" xfId="0" applyFont="1" applyBorder="1" applyAlignment="1">
      <alignment horizontal="center" vertical="center"/>
    </xf>
    <xf numFmtId="169" fontId="4" fillId="0" borderId="1" xfId="15" applyNumberFormat="1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0" fillId="0" borderId="70" xfId="0" applyFont="1" applyBorder="1" applyAlignment="1">
      <alignment vertical="center"/>
    </xf>
    <xf numFmtId="0" fontId="0" fillId="0" borderId="71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1" fillId="0" borderId="69" xfId="0" applyFont="1" applyBorder="1" applyAlignment="1">
      <alignment horizontal="center" vertical="center"/>
    </xf>
    <xf numFmtId="0" fontId="0" fillId="0" borderId="65" xfId="0" applyFont="1" applyBorder="1" applyAlignment="1">
      <alignment vertical="center"/>
    </xf>
    <xf numFmtId="0" fontId="0" fillId="0" borderId="72" xfId="0" applyFont="1" applyBorder="1" applyAlignment="1">
      <alignment vertical="center"/>
    </xf>
    <xf numFmtId="0" fontId="6" fillId="0" borderId="69" xfId="0" applyFont="1" applyBorder="1" applyAlignment="1">
      <alignment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0" fillId="0" borderId="73" xfId="0" applyFont="1" applyBorder="1" applyAlignment="1">
      <alignment vertical="center"/>
    </xf>
    <xf numFmtId="0" fontId="3" fillId="2" borderId="69" xfId="0" applyFont="1" applyFill="1" applyBorder="1" applyAlignment="1">
      <alignment horizontal="center" vertical="center"/>
    </xf>
    <xf numFmtId="0" fontId="0" fillId="0" borderId="74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75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0" xfId="0" applyFont="1" applyBorder="1" applyAlignment="1">
      <alignment/>
    </xf>
    <xf numFmtId="0" fontId="0" fillId="0" borderId="76" xfId="0" applyFont="1" applyBorder="1" applyAlignment="1">
      <alignment/>
    </xf>
    <xf numFmtId="0" fontId="0" fillId="0" borderId="12" xfId="0" applyFont="1" applyBorder="1" applyAlignment="1">
      <alignment horizontal="left" vertical="center"/>
    </xf>
    <xf numFmtId="0" fontId="0" fillId="0" borderId="77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78" xfId="0" applyFont="1" applyBorder="1" applyAlignment="1">
      <alignment/>
    </xf>
    <xf numFmtId="169" fontId="4" fillId="0" borderId="1" xfId="0" applyNumberFormat="1" applyFont="1" applyBorder="1" applyAlignment="1">
      <alignment vertical="center"/>
    </xf>
    <xf numFmtId="0" fontId="0" fillId="0" borderId="73" xfId="0" applyFont="1" applyBorder="1" applyAlignment="1">
      <alignment horizontal="left" vertical="center"/>
    </xf>
    <xf numFmtId="0" fontId="0" fillId="0" borderId="70" xfId="0" applyFont="1" applyBorder="1" applyAlignment="1">
      <alignment horizontal="left" vertical="center"/>
    </xf>
    <xf numFmtId="0" fontId="0" fillId="0" borderId="71" xfId="0" applyFont="1" applyBorder="1" applyAlignment="1">
      <alignment horizontal="left" vertical="center"/>
    </xf>
    <xf numFmtId="0" fontId="0" fillId="0" borderId="75" xfId="0" applyFont="1" applyBorder="1" applyAlignment="1">
      <alignment horizontal="left" vertical="center"/>
    </xf>
    <xf numFmtId="0" fontId="0" fillId="0" borderId="70" xfId="0" applyFont="1" applyBorder="1" applyAlignment="1">
      <alignment horizontal="left" vertical="center" wrapText="1"/>
    </xf>
    <xf numFmtId="0" fontId="0" fillId="0" borderId="71" xfId="0" applyFont="1" applyBorder="1" applyAlignment="1">
      <alignment horizontal="left" vertical="center" wrapText="1"/>
    </xf>
    <xf numFmtId="0" fontId="0" fillId="0" borderId="74" xfId="0" applyFont="1" applyBorder="1" applyAlignment="1">
      <alignment horizontal="left" vertical="center"/>
    </xf>
    <xf numFmtId="0" fontId="0" fillId="0" borderId="65" xfId="0" applyFont="1" applyBorder="1" applyAlignment="1">
      <alignment horizontal="left" vertical="center"/>
    </xf>
    <xf numFmtId="0" fontId="0" fillId="0" borderId="72" xfId="0" applyFont="1" applyBorder="1" applyAlignment="1">
      <alignment horizontal="left" vertical="center"/>
    </xf>
    <xf numFmtId="0" fontId="0" fillId="0" borderId="77" xfId="0" applyFont="1" applyBorder="1" applyAlignment="1">
      <alignment horizontal="left" vertical="center"/>
    </xf>
    <xf numFmtId="0" fontId="0" fillId="0" borderId="65" xfId="0" applyFont="1" applyBorder="1" applyAlignment="1">
      <alignment horizontal="left" vertical="center" wrapText="1"/>
    </xf>
    <xf numFmtId="0" fontId="0" fillId="0" borderId="7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69" xfId="0" applyFont="1" applyBorder="1" applyAlignment="1">
      <alignment horizontal="left" vertical="center"/>
    </xf>
    <xf numFmtId="169" fontId="4" fillId="0" borderId="1" xfId="15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8" fontId="27" fillId="0" borderId="1" xfId="0" applyNumberFormat="1" applyFont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169" fontId="24" fillId="0" borderId="0" xfId="15" applyNumberFormat="1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/>
    </xf>
    <xf numFmtId="0" fontId="23" fillId="0" borderId="79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4" fillId="0" borderId="80" xfId="0" applyFont="1" applyBorder="1" applyAlignment="1">
      <alignment horizontal="center" vertical="center" wrapText="1"/>
    </xf>
    <xf numFmtId="0" fontId="24" fillId="0" borderId="66" xfId="0" applyFont="1" applyBorder="1" applyAlignment="1">
      <alignment horizontal="left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3" fillId="2" borderId="81" xfId="0" applyFont="1" applyFill="1" applyBorder="1" applyAlignment="1">
      <alignment horizontal="center" vertical="center" wrapText="1"/>
    </xf>
    <xf numFmtId="0" fontId="23" fillId="2" borderId="82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168" fontId="27" fillId="0" borderId="1" xfId="15" applyNumberFormat="1" applyFont="1" applyBorder="1" applyAlignment="1">
      <alignment horizontal="center" vertical="center" wrapText="1"/>
    </xf>
    <xf numFmtId="168" fontId="27" fillId="0" borderId="24" xfId="15" applyNumberFormat="1" applyFont="1" applyBorder="1" applyAlignment="1">
      <alignment horizontal="center" vertical="center" wrapText="1"/>
    </xf>
    <xf numFmtId="168" fontId="27" fillId="0" borderId="1" xfId="0" applyNumberFormat="1" applyFont="1" applyBorder="1" applyAlignment="1">
      <alignment horizontal="center" vertical="center" wrapText="1"/>
    </xf>
    <xf numFmtId="168" fontId="27" fillId="0" borderId="24" xfId="0" applyNumberFormat="1" applyFont="1" applyBorder="1" applyAlignment="1">
      <alignment horizontal="center" vertical="center" wrapText="1"/>
    </xf>
    <xf numFmtId="0" fontId="23" fillId="0" borderId="83" xfId="0" applyFont="1" applyBorder="1" applyAlignment="1">
      <alignment horizontal="center" vertical="center" wrapText="1"/>
    </xf>
    <xf numFmtId="0" fontId="23" fillId="0" borderId="7" xfId="0" applyFont="1" applyBorder="1" applyAlignment="1">
      <alignment vertical="center" wrapText="1"/>
    </xf>
    <xf numFmtId="169" fontId="27" fillId="0" borderId="7" xfId="15" applyNumberFormat="1" applyFont="1" applyBorder="1" applyAlignment="1">
      <alignment horizontal="center" vertical="center" wrapText="1"/>
    </xf>
    <xf numFmtId="169" fontId="27" fillId="0" borderId="84" xfId="15" applyNumberFormat="1" applyFont="1" applyBorder="1" applyAlignment="1">
      <alignment horizontal="center" vertical="center" wrapText="1"/>
    </xf>
    <xf numFmtId="0" fontId="27" fillId="0" borderId="85" xfId="0" applyFont="1" applyBorder="1" applyAlignment="1">
      <alignment horizontal="center" vertical="center" wrapText="1"/>
    </xf>
    <xf numFmtId="0" fontId="27" fillId="0" borderId="86" xfId="0" applyFont="1" applyBorder="1" applyAlignment="1">
      <alignment horizontal="left" vertical="center" wrapText="1"/>
    </xf>
    <xf numFmtId="169" fontId="27" fillId="0" borderId="86" xfId="15" applyNumberFormat="1" applyFont="1" applyBorder="1" applyAlignment="1">
      <alignment horizontal="center" vertical="center" wrapText="1"/>
    </xf>
    <xf numFmtId="168" fontId="27" fillId="0" borderId="86" xfId="15" applyNumberFormat="1" applyFont="1" applyBorder="1" applyAlignment="1">
      <alignment horizontal="center" vertical="center" wrapText="1"/>
    </xf>
    <xf numFmtId="168" fontId="27" fillId="0" borderId="87" xfId="15" applyNumberFormat="1" applyFont="1" applyBorder="1" applyAlignment="1">
      <alignment horizontal="center" vertical="center" wrapText="1"/>
    </xf>
    <xf numFmtId="0" fontId="27" fillId="0" borderId="88" xfId="0" applyFont="1" applyBorder="1" applyAlignment="1">
      <alignment horizontal="center" vertical="center" wrapText="1"/>
    </xf>
    <xf numFmtId="0" fontId="27" fillId="0" borderId="89" xfId="0" applyFont="1" applyBorder="1" applyAlignment="1">
      <alignment horizontal="left" vertical="center" wrapText="1"/>
    </xf>
    <xf numFmtId="169" fontId="27" fillId="0" borderId="89" xfId="15" applyNumberFormat="1" applyFont="1" applyBorder="1" applyAlignment="1">
      <alignment horizontal="center" vertical="center" wrapText="1"/>
    </xf>
    <xf numFmtId="169" fontId="27" fillId="0" borderId="90" xfId="15" applyNumberFormat="1" applyFont="1" applyBorder="1" applyAlignment="1">
      <alignment horizontal="center" vertical="center" wrapText="1"/>
    </xf>
    <xf numFmtId="169" fontId="27" fillId="0" borderId="7" xfId="15" applyNumberFormat="1" applyFont="1" applyBorder="1" applyAlignment="1">
      <alignment horizontal="left" vertical="center" wrapText="1"/>
    </xf>
    <xf numFmtId="169" fontId="27" fillId="0" borderId="86" xfId="15" applyNumberFormat="1" applyFont="1" applyBorder="1" applyAlignment="1">
      <alignment horizontal="left" vertical="center" wrapText="1"/>
    </xf>
    <xf numFmtId="0" fontId="27" fillId="0" borderId="86" xfId="0" applyFont="1" applyBorder="1" applyAlignment="1">
      <alignment vertical="center" wrapText="1"/>
    </xf>
    <xf numFmtId="169" fontId="27" fillId="0" borderId="89" xfId="15" applyNumberFormat="1" applyFont="1" applyBorder="1" applyAlignment="1">
      <alignment horizontal="left" vertical="center" wrapText="1"/>
    </xf>
    <xf numFmtId="168" fontId="27" fillId="0" borderId="89" xfId="15" applyNumberFormat="1" applyFont="1" applyBorder="1" applyAlignment="1">
      <alignment horizontal="center" vertical="center" wrapText="1"/>
    </xf>
    <xf numFmtId="168" fontId="27" fillId="0" borderId="90" xfId="15" applyNumberFormat="1" applyFont="1" applyBorder="1" applyAlignment="1">
      <alignment horizontal="center" vertical="center" wrapText="1"/>
    </xf>
    <xf numFmtId="169" fontId="23" fillId="0" borderId="7" xfId="15" applyNumberFormat="1" applyFont="1" applyBorder="1" applyAlignment="1">
      <alignment horizontal="left" vertical="center" wrapText="1"/>
    </xf>
    <xf numFmtId="169" fontId="23" fillId="0" borderId="7" xfId="15" applyNumberFormat="1" applyFont="1" applyBorder="1" applyAlignment="1">
      <alignment horizontal="center" vertical="center" wrapText="1"/>
    </xf>
    <xf numFmtId="168" fontId="23" fillId="0" borderId="7" xfId="15" applyNumberFormat="1" applyFont="1" applyBorder="1" applyAlignment="1">
      <alignment horizontal="center" vertical="center" wrapText="1"/>
    </xf>
    <xf numFmtId="168" fontId="23" fillId="0" borderId="84" xfId="15" applyNumberFormat="1" applyFont="1" applyBorder="1" applyAlignment="1">
      <alignment horizontal="center" vertical="center" wrapText="1"/>
    </xf>
    <xf numFmtId="0" fontId="23" fillId="0" borderId="7" xfId="0" applyFont="1" applyBorder="1" applyAlignment="1">
      <alignment horizontal="left" vertical="center" wrapText="1"/>
    </xf>
    <xf numFmtId="169" fontId="27" fillId="0" borderId="87" xfId="15" applyNumberFormat="1" applyFont="1" applyBorder="1" applyAlignment="1">
      <alignment horizontal="center" vertical="center" wrapText="1"/>
    </xf>
    <xf numFmtId="0" fontId="23" fillId="0" borderId="91" xfId="0" applyFont="1" applyBorder="1" applyAlignment="1">
      <alignment horizontal="center" vertical="center" wrapText="1"/>
    </xf>
    <xf numFmtId="0" fontId="23" fillId="0" borderId="92" xfId="0" applyFont="1" applyBorder="1" applyAlignment="1">
      <alignment horizontal="left" vertical="center" wrapText="1"/>
    </xf>
    <xf numFmtId="169" fontId="23" fillId="0" borderId="92" xfId="15" applyNumberFormat="1" applyFont="1" applyBorder="1" applyAlignment="1">
      <alignment horizontal="center" vertical="center" wrapText="1"/>
    </xf>
    <xf numFmtId="169" fontId="23" fillId="0" borderId="22" xfId="15" applyNumberFormat="1" applyFont="1" applyBorder="1" applyAlignment="1">
      <alignment horizontal="center" vertical="center" wrapText="1"/>
    </xf>
    <xf numFmtId="0" fontId="27" fillId="0" borderId="93" xfId="0" applyFont="1" applyBorder="1" applyAlignment="1">
      <alignment horizontal="center" vertical="center" wrapText="1"/>
    </xf>
    <xf numFmtId="0" fontId="27" fillId="0" borderId="94" xfId="0" applyFont="1" applyBorder="1" applyAlignment="1">
      <alignment vertical="center" wrapText="1"/>
    </xf>
    <xf numFmtId="169" fontId="27" fillId="0" borderId="94" xfId="15" applyNumberFormat="1" applyFont="1" applyBorder="1" applyAlignment="1">
      <alignment horizontal="left" vertical="center" wrapText="1"/>
    </xf>
    <xf numFmtId="169" fontId="27" fillId="0" borderId="94" xfId="15" applyNumberFormat="1" applyFont="1" applyBorder="1" applyAlignment="1">
      <alignment horizontal="center" vertical="center" wrapText="1"/>
    </xf>
    <xf numFmtId="168" fontId="27" fillId="0" borderId="94" xfId="15" applyNumberFormat="1" applyFont="1" applyBorder="1" applyAlignment="1">
      <alignment horizontal="center" vertical="center" wrapText="1"/>
    </xf>
    <xf numFmtId="168" fontId="27" fillId="0" borderId="95" xfId="15" applyNumberFormat="1" applyFont="1" applyBorder="1" applyAlignment="1">
      <alignment horizontal="center" vertical="center" wrapText="1"/>
    </xf>
    <xf numFmtId="0" fontId="23" fillId="0" borderId="80" xfId="0" applyFont="1" applyBorder="1" applyAlignment="1">
      <alignment horizontal="center" vertical="center" wrapText="1"/>
    </xf>
    <xf numFmtId="0" fontId="23" fillId="0" borderId="66" xfId="0" applyFont="1" applyBorder="1" applyAlignment="1">
      <alignment vertical="center" wrapText="1"/>
    </xf>
    <xf numFmtId="169" fontId="23" fillId="0" borderId="66" xfId="15" applyNumberFormat="1" applyFont="1" applyBorder="1" applyAlignment="1">
      <alignment horizontal="center" vertical="center" wrapText="1"/>
    </xf>
    <xf numFmtId="169" fontId="23" fillId="0" borderId="28" xfId="15" applyNumberFormat="1" applyFont="1" applyBorder="1" applyAlignment="1">
      <alignment horizontal="center" vertical="center" wrapText="1"/>
    </xf>
    <xf numFmtId="0" fontId="23" fillId="0" borderId="96" xfId="0" applyFont="1" applyBorder="1" applyAlignment="1">
      <alignment horizontal="center" vertical="center" wrapText="1"/>
    </xf>
    <xf numFmtId="0" fontId="23" fillId="0" borderId="97" xfId="0" applyFont="1" applyBorder="1" applyAlignment="1">
      <alignment horizontal="left" vertical="center" wrapText="1"/>
    </xf>
    <xf numFmtId="169" fontId="27" fillId="0" borderId="97" xfId="15" applyNumberFormat="1" applyFont="1" applyBorder="1" applyAlignment="1">
      <alignment horizontal="left" vertical="center" wrapText="1"/>
    </xf>
    <xf numFmtId="169" fontId="27" fillId="0" borderId="97" xfId="15" applyNumberFormat="1" applyFont="1" applyBorder="1" applyAlignment="1">
      <alignment horizontal="center" vertical="center" wrapText="1"/>
    </xf>
    <xf numFmtId="169" fontId="27" fillId="0" borderId="98" xfId="15" applyNumberFormat="1" applyFont="1" applyBorder="1" applyAlignment="1">
      <alignment horizontal="center" vertical="center" wrapText="1"/>
    </xf>
    <xf numFmtId="0" fontId="23" fillId="0" borderId="99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left" vertical="center" wrapText="1"/>
    </xf>
    <xf numFmtId="169" fontId="27" fillId="0" borderId="17" xfId="15" applyNumberFormat="1" applyFont="1" applyBorder="1" applyAlignment="1">
      <alignment horizontal="left" vertical="center" wrapText="1"/>
    </xf>
    <xf numFmtId="169" fontId="27" fillId="0" borderId="17" xfId="15" applyNumberFormat="1" applyFont="1" applyBorder="1" applyAlignment="1">
      <alignment horizontal="center" vertical="center" wrapText="1"/>
    </xf>
    <xf numFmtId="169" fontId="27" fillId="0" borderId="100" xfId="15" applyNumberFormat="1" applyFont="1" applyBorder="1" applyAlignment="1">
      <alignment horizontal="center" vertical="center" wrapText="1"/>
    </xf>
    <xf numFmtId="169" fontId="27" fillId="0" borderId="92" xfId="15" applyNumberFormat="1" applyFont="1" applyBorder="1" applyAlignment="1">
      <alignment horizontal="center" vertical="center" wrapText="1"/>
    </xf>
    <xf numFmtId="0" fontId="27" fillId="0" borderId="92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43" fontId="0" fillId="0" borderId="3" xfId="15" applyFont="1" applyBorder="1" applyAlignment="1">
      <alignment vertical="center"/>
    </xf>
    <xf numFmtId="43" fontId="0" fillId="0" borderId="4" xfId="15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7" fillId="0" borderId="101" xfId="0" applyFont="1" applyBorder="1" applyAlignment="1">
      <alignment vertical="center" wrapText="1"/>
    </xf>
    <xf numFmtId="3" fontId="0" fillId="0" borderId="101" xfId="0" applyNumberFormat="1" applyBorder="1" applyAlignment="1">
      <alignment horizontal="center" vertical="center"/>
    </xf>
    <xf numFmtId="3" fontId="0" fillId="0" borderId="101" xfId="0" applyNumberFormat="1" applyFill="1" applyBorder="1" applyAlignment="1">
      <alignment horizontal="center" vertical="center"/>
    </xf>
    <xf numFmtId="3" fontId="0" fillId="0" borderId="101" xfId="0" applyNumberFormat="1" applyBorder="1" applyAlignment="1">
      <alignment vertical="center"/>
    </xf>
    <xf numFmtId="3" fontId="0" fillId="0" borderId="101" xfId="0" applyNumberFormat="1" applyBorder="1" applyAlignment="1">
      <alignment vertical="center" wrapText="1"/>
    </xf>
    <xf numFmtId="0" fontId="0" fillId="0" borderId="86" xfId="0" applyBorder="1" applyAlignment="1">
      <alignment horizontal="center" vertical="center"/>
    </xf>
    <xf numFmtId="0" fontId="7" fillId="0" borderId="86" xfId="0" applyFont="1" applyBorder="1" applyAlignment="1">
      <alignment vertical="center" wrapText="1"/>
    </xf>
    <xf numFmtId="3" fontId="0" fillId="0" borderId="86" xfId="0" applyNumberFormat="1" applyBorder="1" applyAlignment="1">
      <alignment horizontal="center" vertical="center"/>
    </xf>
    <xf numFmtId="3" fontId="0" fillId="0" borderId="86" xfId="0" applyNumberFormat="1" applyFill="1" applyBorder="1" applyAlignment="1">
      <alignment horizontal="center" vertical="center"/>
    </xf>
    <xf numFmtId="3" fontId="0" fillId="0" borderId="86" xfId="0" applyNumberFormat="1" applyBorder="1" applyAlignment="1">
      <alignment vertical="center"/>
    </xf>
    <xf numFmtId="3" fontId="0" fillId="0" borderId="86" xfId="0" applyNumberFormat="1" applyBorder="1" applyAlignment="1">
      <alignment vertical="center" wrapText="1"/>
    </xf>
    <xf numFmtId="3" fontId="0" fillId="0" borderId="3" xfId="0" applyNumberFormat="1" applyBorder="1" applyAlignment="1">
      <alignment horizontal="center" vertical="center"/>
    </xf>
    <xf numFmtId="0" fontId="7" fillId="0" borderId="86" xfId="0" applyFont="1" applyBorder="1" applyAlignment="1">
      <alignment vertical="center" wrapText="1"/>
    </xf>
    <xf numFmtId="0" fontId="13" fillId="0" borderId="6" xfId="0" applyFont="1" applyBorder="1" applyAlignment="1">
      <alignment vertical="top" wrapText="1"/>
    </xf>
    <xf numFmtId="0" fontId="0" fillId="0" borderId="89" xfId="0" applyBorder="1" applyAlignment="1">
      <alignment horizontal="center" vertical="center"/>
    </xf>
    <xf numFmtId="0" fontId="7" fillId="0" borderId="89" xfId="0" applyFont="1" applyBorder="1" applyAlignment="1">
      <alignment vertical="center" wrapText="1"/>
    </xf>
    <xf numFmtId="3" fontId="0" fillId="0" borderId="89" xfId="0" applyNumberFormat="1" applyBorder="1" applyAlignment="1">
      <alignment horizontal="center" vertical="center"/>
    </xf>
    <xf numFmtId="3" fontId="0" fillId="0" borderId="89" xfId="0" applyNumberFormat="1" applyFill="1" applyBorder="1" applyAlignment="1">
      <alignment horizontal="center" vertical="center"/>
    </xf>
    <xf numFmtId="3" fontId="0" fillId="0" borderId="89" xfId="0" applyNumberFormat="1" applyBorder="1" applyAlignment="1">
      <alignment vertical="center"/>
    </xf>
    <xf numFmtId="3" fontId="0" fillId="0" borderId="89" xfId="0" applyNumberFormat="1" applyBorder="1" applyAlignment="1">
      <alignment vertical="center" wrapText="1"/>
    </xf>
    <xf numFmtId="3" fontId="0" fillId="0" borderId="0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vertical="center" wrapText="1"/>
    </xf>
    <xf numFmtId="3" fontId="0" fillId="0" borderId="4" xfId="0" applyNumberFormat="1" applyBorder="1" applyAlignment="1">
      <alignment horizontal="center" vertical="center"/>
    </xf>
    <xf numFmtId="3" fontId="0" fillId="0" borderId="4" xfId="0" applyNumberForma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/>
    </xf>
    <xf numFmtId="0" fontId="20" fillId="0" borderId="0" xfId="18" applyFont="1" applyAlignment="1">
      <alignment horizontal="left"/>
      <protection/>
    </xf>
    <xf numFmtId="3" fontId="13" fillId="0" borderId="17" xfId="0" applyNumberFormat="1" applyFont="1" applyBorder="1" applyAlignment="1">
      <alignment vertical="top" wrapText="1"/>
    </xf>
    <xf numFmtId="3" fontId="13" fillId="0" borderId="17" xfId="15" applyNumberFormat="1" applyFont="1" applyBorder="1" applyAlignment="1">
      <alignment vertical="top" wrapText="1"/>
    </xf>
    <xf numFmtId="1" fontId="16" fillId="0" borderId="18" xfId="0" applyNumberFormat="1" applyFont="1" applyBorder="1" applyAlignment="1">
      <alignment horizontal="right" vertical="top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3" fontId="0" fillId="0" borderId="7" xfId="0" applyNumberFormat="1" applyBorder="1" applyAlignment="1">
      <alignment vertical="center"/>
    </xf>
    <xf numFmtId="3" fontId="0" fillId="0" borderId="7" xfId="0" applyNumberForma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vertical="center"/>
    </xf>
    <xf numFmtId="0" fontId="0" fillId="0" borderId="85" xfId="0" applyBorder="1" applyAlignment="1">
      <alignment horizontal="center" vertical="center"/>
    </xf>
    <xf numFmtId="0" fontId="0" fillId="0" borderId="87" xfId="0" applyBorder="1" applyAlignment="1">
      <alignment vertical="center"/>
    </xf>
    <xf numFmtId="0" fontId="0" fillId="0" borderId="88" xfId="0" applyBorder="1" applyAlignment="1">
      <alignment horizontal="center" vertical="center"/>
    </xf>
    <xf numFmtId="0" fontId="0" fillId="0" borderId="90" xfId="0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3" fontId="3" fillId="0" borderId="66" xfId="0" applyNumberFormat="1" applyFont="1" applyBorder="1" applyAlignment="1">
      <alignment horizontal="center" vertical="center"/>
    </xf>
    <xf numFmtId="3" fontId="3" fillId="0" borderId="66" xfId="0" applyNumberFormat="1" applyFont="1" applyBorder="1" applyAlignment="1">
      <alignment vertical="center"/>
    </xf>
    <xf numFmtId="3" fontId="0" fillId="0" borderId="11" xfId="0" applyNumberForma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3" fillId="0" borderId="3" xfId="0" applyFont="1" applyBorder="1" applyAlignment="1">
      <alignment vertical="top" wrapText="1"/>
    </xf>
    <xf numFmtId="4" fontId="23" fillId="0" borderId="7" xfId="20" applyNumberFormat="1" applyFont="1" applyBorder="1" applyAlignment="1">
      <alignment vertical="top" wrapText="1"/>
    </xf>
    <xf numFmtId="4" fontId="16" fillId="0" borderId="3" xfId="20" applyNumberFormat="1" applyFont="1" applyBorder="1" applyAlignment="1">
      <alignment vertical="top" wrapText="1"/>
    </xf>
    <xf numFmtId="4" fontId="13" fillId="0" borderId="3" xfId="20" applyNumberFormat="1" applyFont="1" applyBorder="1" applyAlignment="1">
      <alignment vertical="top" wrapText="1"/>
    </xf>
    <xf numFmtId="4" fontId="13" fillId="0" borderId="6" xfId="20" applyNumberFormat="1" applyFont="1" applyBorder="1" applyAlignment="1">
      <alignment vertical="top" wrapText="1"/>
    </xf>
    <xf numFmtId="4" fontId="26" fillId="0" borderId="3" xfId="20" applyNumberFormat="1" applyFont="1" applyBorder="1" applyAlignment="1">
      <alignment vertical="top" wrapText="1"/>
    </xf>
    <xf numFmtId="4" fontId="23" fillId="0" borderId="2" xfId="20" applyNumberFormat="1" applyFont="1" applyBorder="1" applyAlignment="1">
      <alignment vertical="top" wrapText="1"/>
    </xf>
    <xf numFmtId="4" fontId="16" fillId="0" borderId="6" xfId="20" applyNumberFormat="1" applyFont="1" applyBorder="1" applyAlignment="1">
      <alignment vertical="top" wrapText="1"/>
    </xf>
    <xf numFmtId="4" fontId="26" fillId="0" borderId="6" xfId="20" applyNumberFormat="1" applyFont="1" applyBorder="1" applyAlignment="1">
      <alignment vertical="top" wrapText="1"/>
    </xf>
    <xf numFmtId="4" fontId="13" fillId="0" borderId="4" xfId="20" applyNumberFormat="1" applyFont="1" applyBorder="1" applyAlignment="1">
      <alignment vertical="top" wrapText="1"/>
    </xf>
    <xf numFmtId="4" fontId="24" fillId="0" borderId="2" xfId="20" applyNumberFormat="1" applyFont="1" applyBorder="1" applyAlignment="1">
      <alignment vertical="top" wrapText="1"/>
    </xf>
    <xf numFmtId="4" fontId="16" fillId="0" borderId="6" xfId="0" applyNumberFormat="1" applyFont="1" applyBorder="1" applyAlignment="1">
      <alignment vertical="top" wrapText="1"/>
    </xf>
    <xf numFmtId="4" fontId="13" fillId="0" borderId="6" xfId="20" applyNumberFormat="1" applyFont="1" applyFill="1" applyBorder="1" applyAlignment="1">
      <alignment vertical="top" wrapText="1"/>
    </xf>
    <xf numFmtId="4" fontId="13" fillId="0" borderId="3" xfId="20" applyNumberFormat="1" applyFont="1" applyFill="1" applyBorder="1" applyAlignment="1">
      <alignment vertical="top" wrapText="1"/>
    </xf>
    <xf numFmtId="4" fontId="16" fillId="0" borderId="3" xfId="20" applyNumberFormat="1" applyFont="1" applyFill="1" applyBorder="1" applyAlignment="1">
      <alignment vertical="top" wrapText="1"/>
    </xf>
    <xf numFmtId="4" fontId="24" fillId="0" borderId="3" xfId="20" applyNumberFormat="1" applyFont="1" applyBorder="1" applyAlignment="1">
      <alignment vertical="top" wrapText="1"/>
    </xf>
    <xf numFmtId="4" fontId="16" fillId="0" borderId="17" xfId="20" applyNumberFormat="1" applyFont="1" applyFill="1" applyBorder="1" applyAlignment="1">
      <alignment vertical="top" wrapText="1"/>
    </xf>
    <xf numFmtId="4" fontId="13" fillId="0" borderId="17" xfId="20" applyNumberFormat="1" applyFont="1" applyBorder="1" applyAlignment="1">
      <alignment vertical="top" wrapText="1"/>
    </xf>
    <xf numFmtId="4" fontId="13" fillId="0" borderId="3" xfId="20" applyNumberFormat="1" applyFont="1" applyBorder="1" applyAlignment="1">
      <alignment vertical="center" wrapText="1"/>
    </xf>
    <xf numFmtId="4" fontId="26" fillId="0" borderId="18" xfId="20" applyNumberFormat="1" applyFont="1" applyBorder="1" applyAlignment="1">
      <alignment vertical="top" wrapText="1"/>
    </xf>
    <xf numFmtId="4" fontId="27" fillId="0" borderId="6" xfId="20" applyNumberFormat="1" applyFont="1" applyBorder="1" applyAlignment="1">
      <alignment vertical="top" wrapText="1"/>
    </xf>
    <xf numFmtId="4" fontId="27" fillId="0" borderId="7" xfId="20" applyNumberFormat="1" applyFont="1" applyBorder="1" applyAlignment="1">
      <alignment vertical="top" wrapText="1"/>
    </xf>
    <xf numFmtId="4" fontId="13" fillId="0" borderId="18" xfId="20" applyNumberFormat="1" applyFont="1" applyBorder="1" applyAlignment="1">
      <alignment vertical="top" wrapText="1"/>
    </xf>
    <xf numFmtId="4" fontId="13" fillId="0" borderId="1" xfId="20" applyNumberFormat="1" applyFont="1" applyBorder="1" applyAlignment="1">
      <alignment vertical="top" wrapText="1"/>
    </xf>
    <xf numFmtId="4" fontId="27" fillId="0" borderId="17" xfId="20" applyNumberFormat="1" applyFont="1" applyBorder="1" applyAlignment="1">
      <alignment vertical="top" wrapText="1"/>
    </xf>
    <xf numFmtId="4" fontId="27" fillId="0" borderId="66" xfId="20" applyNumberFormat="1" applyFont="1" applyBorder="1" applyAlignment="1">
      <alignment vertical="top" wrapText="1"/>
    </xf>
    <xf numFmtId="3" fontId="26" fillId="0" borderId="4" xfId="15" applyNumberFormat="1" applyFont="1" applyBorder="1" applyAlignment="1">
      <alignment vertical="top" wrapText="1"/>
    </xf>
    <xf numFmtId="4" fontId="26" fillId="0" borderId="4" xfId="20" applyNumberFormat="1" applyFont="1" applyBorder="1" applyAlignment="1">
      <alignment vertical="top" wrapText="1"/>
    </xf>
    <xf numFmtId="3" fontId="10" fillId="0" borderId="4" xfId="18" applyNumberFormat="1" applyFont="1" applyBorder="1">
      <alignment/>
      <protection/>
    </xf>
    <xf numFmtId="3" fontId="10" fillId="0" borderId="4" xfId="18" applyNumberFormat="1" applyFont="1" applyBorder="1" applyAlignment="1">
      <alignment/>
      <protection/>
    </xf>
    <xf numFmtId="0" fontId="10" fillId="0" borderId="77" xfId="18" applyFont="1" applyBorder="1" applyAlignment="1">
      <alignment wrapText="1"/>
      <protection/>
    </xf>
    <xf numFmtId="3" fontId="10" fillId="0" borderId="75" xfId="18" applyNumberFormat="1" applyFont="1" applyBorder="1">
      <alignment/>
      <protection/>
    </xf>
    <xf numFmtId="0" fontId="10" fillId="0" borderId="65" xfId="18" applyFont="1" applyBorder="1" applyAlignment="1">
      <alignment wrapText="1"/>
      <protection/>
    </xf>
    <xf numFmtId="3" fontId="10" fillId="0" borderId="70" xfId="18" applyNumberFormat="1" applyFont="1" applyBorder="1">
      <alignment/>
      <protection/>
    </xf>
    <xf numFmtId="0" fontId="10" fillId="0" borderId="72" xfId="18" applyFont="1" applyBorder="1" applyAlignment="1">
      <alignment wrapText="1"/>
      <protection/>
    </xf>
    <xf numFmtId="3" fontId="10" fillId="0" borderId="71" xfId="18" applyNumberFormat="1" applyFont="1" applyBorder="1">
      <alignment/>
      <protection/>
    </xf>
    <xf numFmtId="3" fontId="10" fillId="0" borderId="18" xfId="18" applyNumberFormat="1" applyFont="1" applyBorder="1">
      <alignment/>
      <protection/>
    </xf>
    <xf numFmtId="0" fontId="3" fillId="2" borderId="102" xfId="0" applyFont="1" applyFill="1" applyBorder="1" applyAlignment="1">
      <alignment horizontal="center" vertical="center"/>
    </xf>
    <xf numFmtId="0" fontId="3" fillId="2" borderId="81" xfId="0" applyFont="1" applyFill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103" xfId="0" applyFont="1" applyBorder="1" applyAlignment="1">
      <alignment vertical="center" wrapText="1"/>
    </xf>
    <xf numFmtId="0" fontId="4" fillId="0" borderId="10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5" xfId="0" applyFont="1" applyBorder="1" applyAlignment="1">
      <alignment horizontal="center" vertical="center" wrapText="1"/>
    </xf>
    <xf numFmtId="0" fontId="4" fillId="0" borderId="106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 wrapText="1"/>
    </xf>
    <xf numFmtId="0" fontId="4" fillId="0" borderId="10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4" fillId="0" borderId="61" xfId="0" applyFont="1" applyBorder="1" applyAlignment="1">
      <alignment vertical="center" wrapText="1"/>
    </xf>
    <xf numFmtId="0" fontId="4" fillId="0" borderId="53" xfId="0" applyFont="1" applyBorder="1" applyAlignment="1">
      <alignment vertical="center" wrapText="1"/>
    </xf>
    <xf numFmtId="0" fontId="2" fillId="0" borderId="108" xfId="0" applyFont="1" applyBorder="1" applyAlignment="1">
      <alignment horizontal="center" vertical="center" wrapText="1"/>
    </xf>
    <xf numFmtId="0" fontId="0" fillId="0" borderId="109" xfId="0" applyBorder="1" applyAlignment="1">
      <alignment vertical="center" wrapText="1"/>
    </xf>
    <xf numFmtId="0" fontId="3" fillId="0" borderId="110" xfId="0" applyFont="1" applyBorder="1" applyAlignment="1">
      <alignment vertical="center"/>
    </xf>
    <xf numFmtId="0" fontId="0" fillId="0" borderId="38" xfId="0" applyBorder="1" applyAlignment="1">
      <alignment horizontal="right" vertical="center"/>
    </xf>
    <xf numFmtId="0" fontId="0" fillId="0" borderId="38" xfId="0" applyFont="1" applyBorder="1" applyAlignment="1">
      <alignment vertical="center"/>
    </xf>
    <xf numFmtId="3" fontId="0" fillId="0" borderId="38" xfId="15" applyNumberFormat="1" applyFont="1" applyBorder="1" applyAlignment="1">
      <alignment vertical="center"/>
    </xf>
    <xf numFmtId="0" fontId="0" fillId="0" borderId="29" xfId="0" applyBorder="1" applyAlignment="1">
      <alignment horizontal="right" vertical="center"/>
    </xf>
    <xf numFmtId="0" fontId="0" fillId="0" borderId="29" xfId="0" applyFont="1" applyBorder="1" applyAlignment="1">
      <alignment vertical="center"/>
    </xf>
    <xf numFmtId="3" fontId="0" fillId="0" borderId="29" xfId="15" applyNumberFormat="1" applyFont="1" applyBorder="1" applyAlignment="1">
      <alignment vertical="center"/>
    </xf>
    <xf numFmtId="10" fontId="6" fillId="0" borderId="111" xfId="20" applyNumberFormat="1" applyFont="1" applyBorder="1" applyAlignment="1">
      <alignment horizontal="center" vertical="center"/>
    </xf>
    <xf numFmtId="10" fontId="6" fillId="0" borderId="112" xfId="20" applyNumberFormat="1" applyFont="1" applyBorder="1" applyAlignment="1">
      <alignment horizontal="center" vertical="center"/>
    </xf>
    <xf numFmtId="10" fontId="6" fillId="0" borderId="113" xfId="20" applyNumberFormat="1" applyFont="1" applyBorder="1" applyAlignment="1">
      <alignment horizontal="center" vertical="center"/>
    </xf>
    <xf numFmtId="10" fontId="6" fillId="0" borderId="114" xfId="20" applyNumberFormat="1" applyFont="1" applyBorder="1" applyAlignment="1">
      <alignment horizontal="center" vertical="center"/>
    </xf>
    <xf numFmtId="3" fontId="4" fillId="0" borderId="115" xfId="15" applyNumberFormat="1" applyFont="1" applyBorder="1" applyAlignment="1">
      <alignment vertical="center"/>
    </xf>
    <xf numFmtId="3" fontId="4" fillId="0" borderId="116" xfId="15" applyNumberFormat="1" applyFont="1" applyBorder="1" applyAlignment="1">
      <alignment vertical="center"/>
    </xf>
    <xf numFmtId="3" fontId="0" fillId="0" borderId="117" xfId="15" applyNumberFormat="1" applyBorder="1" applyAlignment="1">
      <alignment vertical="center" wrapText="1"/>
    </xf>
    <xf numFmtId="3" fontId="15" fillId="0" borderId="117" xfId="15" applyNumberFormat="1" applyFont="1" applyBorder="1" applyAlignment="1">
      <alignment vertical="center"/>
    </xf>
    <xf numFmtId="3" fontId="0" fillId="0" borderId="118" xfId="15" applyNumberFormat="1" applyFont="1" applyBorder="1" applyAlignment="1">
      <alignment vertical="center"/>
    </xf>
    <xf numFmtId="3" fontId="0" fillId="0" borderId="117" xfId="15" applyNumberFormat="1" applyFont="1" applyBorder="1" applyAlignment="1">
      <alignment vertical="center"/>
    </xf>
    <xf numFmtId="3" fontId="0" fillId="0" borderId="118" xfId="15" applyNumberFormat="1" applyFont="1" applyBorder="1" applyAlignment="1">
      <alignment vertical="center" wrapText="1"/>
    </xf>
    <xf numFmtId="3" fontId="0" fillId="0" borderId="117" xfId="15" applyNumberFormat="1" applyFont="1" applyBorder="1" applyAlignment="1">
      <alignment vertical="center" wrapText="1"/>
    </xf>
    <xf numFmtId="3" fontId="0" fillId="0" borderId="119" xfId="15" applyNumberFormat="1" applyFont="1" applyBorder="1" applyAlignment="1">
      <alignment vertical="center"/>
    </xf>
    <xf numFmtId="0" fontId="4" fillId="0" borderId="10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0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3" fillId="2" borderId="121" xfId="0" applyFont="1" applyFill="1" applyBorder="1" applyAlignment="1">
      <alignment horizontal="center" vertical="center"/>
    </xf>
    <xf numFmtId="0" fontId="3" fillId="2" borderId="122" xfId="0" applyFont="1" applyFill="1" applyBorder="1" applyAlignment="1">
      <alignment horizontal="center" vertical="center"/>
    </xf>
    <xf numFmtId="0" fontId="3" fillId="2" borderId="102" xfId="0" applyFont="1" applyFill="1" applyBorder="1" applyAlignment="1">
      <alignment horizontal="center" vertical="center"/>
    </xf>
    <xf numFmtId="0" fontId="3" fillId="2" borderId="81" xfId="0" applyFont="1" applyFill="1" applyBorder="1" applyAlignment="1">
      <alignment horizontal="center" vertical="center"/>
    </xf>
    <xf numFmtId="0" fontId="3" fillId="2" borderId="111" xfId="0" applyFont="1" applyFill="1" applyBorder="1" applyAlignment="1">
      <alignment horizontal="center" vertical="center" wrapText="1"/>
    </xf>
    <xf numFmtId="0" fontId="3" fillId="2" borderId="123" xfId="0" applyFont="1" applyFill="1" applyBorder="1" applyAlignment="1">
      <alignment horizontal="center" vertical="center"/>
    </xf>
    <xf numFmtId="3" fontId="23" fillId="0" borderId="20" xfId="15" applyNumberFormat="1" applyFont="1" applyBorder="1" applyAlignment="1">
      <alignment horizontal="center" vertical="top" wrapText="1"/>
    </xf>
    <xf numFmtId="3" fontId="23" fillId="0" borderId="69" xfId="15" applyNumberFormat="1" applyFont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center" wrapText="1"/>
    </xf>
    <xf numFmtId="3" fontId="16" fillId="0" borderId="2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3" fillId="2" borderId="9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80" xfId="0" applyFont="1" applyBorder="1" applyAlignment="1">
      <alignment horizontal="left" vertical="center"/>
    </xf>
    <xf numFmtId="0" fontId="3" fillId="0" borderId="66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2" borderId="91" xfId="0" applyFont="1" applyFill="1" applyBorder="1" applyAlignment="1">
      <alignment horizontal="center" vertical="center"/>
    </xf>
    <xf numFmtId="0" fontId="3" fillId="2" borderId="79" xfId="0" applyFont="1" applyFill="1" applyBorder="1" applyAlignment="1">
      <alignment horizontal="center" vertical="center"/>
    </xf>
    <xf numFmtId="0" fontId="3" fillId="2" borderId="92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9" fillId="0" borderId="19" xfId="18" applyFont="1" applyBorder="1" applyAlignment="1">
      <alignment horizontal="center"/>
      <protection/>
    </xf>
    <xf numFmtId="0" fontId="9" fillId="0" borderId="69" xfId="18" applyFont="1" applyBorder="1" applyAlignment="1">
      <alignment horizontal="center"/>
      <protection/>
    </xf>
    <xf numFmtId="0" fontId="10" fillId="0" borderId="1" xfId="18" applyFont="1" applyBorder="1" applyAlignment="1">
      <alignment horizontal="center" vertical="center"/>
      <protection/>
    </xf>
    <xf numFmtId="0" fontId="13" fillId="0" borderId="19" xfId="18" applyFont="1" applyBorder="1" applyAlignment="1">
      <alignment horizontal="center" wrapText="1"/>
      <protection/>
    </xf>
    <xf numFmtId="0" fontId="13" fillId="0" borderId="20" xfId="18" applyFont="1" applyBorder="1" applyAlignment="1">
      <alignment horizontal="center" wrapText="1"/>
      <protection/>
    </xf>
    <xf numFmtId="0" fontId="13" fillId="0" borderId="69" xfId="18" applyFont="1" applyBorder="1" applyAlignment="1">
      <alignment horizontal="center" wrapText="1"/>
      <protection/>
    </xf>
    <xf numFmtId="0" fontId="9" fillId="2" borderId="1" xfId="18" applyFont="1" applyFill="1" applyBorder="1" applyAlignment="1">
      <alignment horizontal="center" vertical="center"/>
      <protection/>
    </xf>
    <xf numFmtId="0" fontId="16" fillId="0" borderId="0" xfId="18" applyFont="1" applyAlignment="1">
      <alignment horizontal="center"/>
      <protection/>
    </xf>
    <xf numFmtId="0" fontId="9" fillId="2" borderId="1" xfId="18" applyFont="1" applyFill="1" applyBorder="1" applyAlignment="1">
      <alignment horizontal="center" vertical="center" wrapText="1"/>
      <protection/>
    </xf>
    <xf numFmtId="0" fontId="10" fillId="0" borderId="2" xfId="18" applyFont="1" applyBorder="1" applyAlignment="1">
      <alignment horizontal="center" vertical="center"/>
      <protection/>
    </xf>
    <xf numFmtId="0" fontId="10" fillId="0" borderId="3" xfId="18" applyFont="1" applyBorder="1" applyAlignment="1">
      <alignment horizontal="center" vertical="center"/>
      <protection/>
    </xf>
    <xf numFmtId="0" fontId="10" fillId="0" borderId="4" xfId="18" applyFont="1" applyBorder="1" applyAlignment="1">
      <alignment horizontal="center" vertical="center"/>
      <protection/>
    </xf>
    <xf numFmtId="0" fontId="13" fillId="0" borderId="19" xfId="18" applyFont="1" applyBorder="1" applyAlignment="1">
      <alignment horizontal="center"/>
      <protection/>
    </xf>
    <xf numFmtId="0" fontId="13" fillId="0" borderId="20" xfId="18" applyFont="1" applyBorder="1" applyAlignment="1">
      <alignment horizontal="center"/>
      <protection/>
    </xf>
    <xf numFmtId="0" fontId="13" fillId="0" borderId="69" xfId="18" applyFont="1" applyBorder="1" applyAlignment="1">
      <alignment horizontal="center"/>
      <protection/>
    </xf>
    <xf numFmtId="0" fontId="10" fillId="0" borderId="6" xfId="18" applyFont="1" applyBorder="1" applyAlignment="1">
      <alignment horizontal="center" vertical="center"/>
      <protection/>
    </xf>
    <xf numFmtId="0" fontId="10" fillId="0" borderId="7" xfId="18" applyFont="1" applyBorder="1" applyAlignment="1">
      <alignment horizontal="center" vertical="center"/>
      <protection/>
    </xf>
    <xf numFmtId="0" fontId="10" fillId="0" borderId="17" xfId="18" applyFont="1" applyBorder="1" applyAlignment="1">
      <alignment horizontal="center" vertical="center"/>
      <protection/>
    </xf>
    <xf numFmtId="0" fontId="10" fillId="0" borderId="18" xfId="18" applyFont="1" applyBorder="1" applyAlignment="1">
      <alignment horizontal="center" vertical="center"/>
      <protection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69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6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3" fillId="2" borderId="91" xfId="0" applyFont="1" applyFill="1" applyBorder="1" applyAlignment="1">
      <alignment horizontal="center" vertical="center" wrapText="1"/>
    </xf>
    <xf numFmtId="0" fontId="23" fillId="2" borderId="80" xfId="0" applyFont="1" applyFill="1" applyBorder="1" applyAlignment="1">
      <alignment horizontal="center" vertical="center" wrapText="1"/>
    </xf>
    <xf numFmtId="0" fontId="23" fillId="2" borderId="92" xfId="0" applyFont="1" applyFill="1" applyBorder="1" applyAlignment="1">
      <alignment horizontal="center" vertical="center" wrapText="1"/>
    </xf>
    <xf numFmtId="0" fontId="23" fillId="2" borderId="66" xfId="0" applyFont="1" applyFill="1" applyBorder="1" applyAlignment="1">
      <alignment horizontal="center" vertical="center" wrapText="1"/>
    </xf>
    <xf numFmtId="0" fontId="23" fillId="2" borderId="32" xfId="0" applyFont="1" applyFill="1" applyBorder="1" applyAlignment="1">
      <alignment horizontal="center" vertical="center" wrapText="1"/>
    </xf>
    <xf numFmtId="0" fontId="23" fillId="2" borderId="81" xfId="0" applyFont="1" applyFill="1" applyBorder="1" applyAlignment="1">
      <alignment horizontal="center" vertical="center" wrapText="1"/>
    </xf>
    <xf numFmtId="0" fontId="23" fillId="2" borderId="124" xfId="0" applyFont="1" applyFill="1" applyBorder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23" fillId="2" borderId="125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showGridLines="0" tabSelected="1" view="pageBreakPreview" zoomScaleSheetLayoutView="100" workbookViewId="0" topLeftCell="A20">
      <selection activeCell="H30" sqref="H30"/>
    </sheetView>
  </sheetViews>
  <sheetFormatPr defaultColWidth="9.00390625" defaultRowHeight="12.75"/>
  <cols>
    <col min="1" max="1" width="31.125" style="0" customWidth="1"/>
    <col min="2" max="2" width="9.625" style="0" customWidth="1"/>
    <col min="3" max="3" width="7.125" style="0" customWidth="1"/>
    <col min="4" max="4" width="45.25390625" style="0" customWidth="1"/>
    <col min="5" max="5" width="16.875" style="0" hidden="1" customWidth="1"/>
    <col min="6" max="6" width="33.375" style="0" customWidth="1"/>
    <col min="7" max="7" width="12.00390625" style="0" hidden="1" customWidth="1"/>
    <col min="8" max="8" width="20.125" style="0" customWidth="1"/>
  </cols>
  <sheetData>
    <row r="1" ht="12.75">
      <c r="F1" t="s">
        <v>610</v>
      </c>
    </row>
    <row r="2" ht="12.75">
      <c r="F2" t="s">
        <v>708</v>
      </c>
    </row>
    <row r="3" ht="12.75">
      <c r="F3" t="s">
        <v>196</v>
      </c>
    </row>
    <row r="4" ht="12.75">
      <c r="F4" t="s">
        <v>709</v>
      </c>
    </row>
    <row r="5" ht="12.75">
      <c r="G5" t="s">
        <v>25</v>
      </c>
    </row>
    <row r="6" spans="2:8" ht="18">
      <c r="B6" s="669" t="s">
        <v>557</v>
      </c>
      <c r="C6" s="669"/>
      <c r="D6" s="669"/>
      <c r="E6" s="669"/>
      <c r="F6" s="669"/>
      <c r="G6" s="669"/>
      <c r="H6" s="2"/>
    </row>
    <row r="7" spans="2:6" ht="12" customHeight="1" thickBot="1">
      <c r="B7" s="2"/>
      <c r="C7" s="2"/>
      <c r="D7" s="2"/>
      <c r="E7" s="2"/>
      <c r="F7" s="2"/>
    </row>
    <row r="8" spans="2:6" ht="16.5" customHeight="1" hidden="1">
      <c r="B8" s="2"/>
      <c r="C8" s="2"/>
      <c r="D8" s="2"/>
      <c r="E8" s="2"/>
      <c r="F8" s="2"/>
    </row>
    <row r="9" spans="7:8" ht="12.75" hidden="1">
      <c r="G9" s="17" t="s">
        <v>59</v>
      </c>
      <c r="H9" s="17"/>
    </row>
    <row r="10" spans="1:8" s="46" customFormat="1" ht="15" customHeight="1">
      <c r="A10" s="670" t="s">
        <v>2</v>
      </c>
      <c r="B10" s="672" t="s">
        <v>131</v>
      </c>
      <c r="C10" s="672" t="s">
        <v>4</v>
      </c>
      <c r="D10" s="672" t="s">
        <v>130</v>
      </c>
      <c r="E10" s="256" t="s">
        <v>602</v>
      </c>
      <c r="F10" s="630" t="s">
        <v>559</v>
      </c>
      <c r="G10" s="674" t="s">
        <v>536</v>
      </c>
      <c r="H10" s="243"/>
    </row>
    <row r="11" spans="1:8" s="46" customFormat="1" ht="18.75" customHeight="1" thickBot="1">
      <c r="A11" s="671"/>
      <c r="B11" s="673"/>
      <c r="C11" s="673"/>
      <c r="D11" s="673"/>
      <c r="E11" s="257"/>
      <c r="F11" s="631"/>
      <c r="G11" s="675"/>
      <c r="H11" s="244"/>
    </row>
    <row r="12" spans="1:8" s="50" customFormat="1" ht="29.25" customHeight="1">
      <c r="A12" s="327"/>
      <c r="B12" s="328"/>
      <c r="C12" s="329"/>
      <c r="D12" s="330" t="s">
        <v>558</v>
      </c>
      <c r="E12" s="331">
        <f>+E13+E20+E24+E47+E48+E49+E52+E62+E69</f>
        <v>39829560</v>
      </c>
      <c r="F12" s="657">
        <f>+F13+F20+F24+F47+F48+F49+F52+F62+F69</f>
        <v>42050504</v>
      </c>
      <c r="G12" s="653">
        <f aca="true" t="shared" si="0" ref="G12:G80">+F12/E12</f>
        <v>1.0557611984666664</v>
      </c>
      <c r="H12" s="325">
        <v>42050504</v>
      </c>
    </row>
    <row r="13" spans="1:8" ht="15.75">
      <c r="A13" s="633" t="s">
        <v>184</v>
      </c>
      <c r="B13" s="634"/>
      <c r="C13" s="634"/>
      <c r="D13" s="668"/>
      <c r="E13" s="302">
        <f>+E14+E15+E19</f>
        <v>1563000</v>
      </c>
      <c r="F13" s="658">
        <f>+F14+F15+F19</f>
        <v>1624000</v>
      </c>
      <c r="G13" s="654">
        <f t="shared" si="0"/>
        <v>1.0390275111964171</v>
      </c>
      <c r="H13" s="245">
        <f>+H12-F12</f>
        <v>0</v>
      </c>
    </row>
    <row r="14" spans="1:8" ht="27" customHeight="1">
      <c r="A14" s="283" t="s">
        <v>25</v>
      </c>
      <c r="B14" s="254">
        <v>70005</v>
      </c>
      <c r="C14" s="251" t="s">
        <v>185</v>
      </c>
      <c r="D14" s="72" t="s">
        <v>186</v>
      </c>
      <c r="E14" s="304">
        <v>60000</v>
      </c>
      <c r="F14" s="659">
        <v>62000</v>
      </c>
      <c r="G14" s="655">
        <f t="shared" si="0"/>
        <v>1.0333333333333334</v>
      </c>
      <c r="H14" s="246"/>
    </row>
    <row r="15" spans="1:8" ht="33" customHeight="1">
      <c r="A15" s="300"/>
      <c r="B15" s="319"/>
      <c r="C15" s="251" t="s">
        <v>188</v>
      </c>
      <c r="D15" s="72" t="s">
        <v>189</v>
      </c>
      <c r="E15" s="304">
        <v>1490000</v>
      </c>
      <c r="F15" s="659">
        <f>SUM(F16:F18)</f>
        <v>1547000</v>
      </c>
      <c r="G15" s="655">
        <f t="shared" si="0"/>
        <v>1.038255033557047</v>
      </c>
      <c r="H15" s="246"/>
    </row>
    <row r="16" spans="1:8" ht="19.5" customHeight="1">
      <c r="A16" s="300"/>
      <c r="B16" s="319"/>
      <c r="C16" s="251"/>
      <c r="D16" s="73" t="s">
        <v>190</v>
      </c>
      <c r="E16" s="305">
        <v>1260000</v>
      </c>
      <c r="F16" s="660">
        <v>1280000</v>
      </c>
      <c r="G16" s="655">
        <f t="shared" si="0"/>
        <v>1.0158730158730158</v>
      </c>
      <c r="H16" s="326">
        <v>1280000</v>
      </c>
    </row>
    <row r="17" spans="1:8" ht="19.5" customHeight="1">
      <c r="A17" s="300"/>
      <c r="B17" s="319"/>
      <c r="C17" s="251"/>
      <c r="D17" s="73" t="s">
        <v>191</v>
      </c>
      <c r="E17" s="305">
        <v>110000</v>
      </c>
      <c r="F17" s="660">
        <v>131000</v>
      </c>
      <c r="G17" s="655">
        <f t="shared" si="0"/>
        <v>1.190909090909091</v>
      </c>
      <c r="H17" s="247"/>
    </row>
    <row r="18" spans="1:8" ht="19.5" customHeight="1">
      <c r="A18" s="300"/>
      <c r="B18" s="319"/>
      <c r="C18" s="251"/>
      <c r="D18" s="73" t="s">
        <v>192</v>
      </c>
      <c r="E18" s="306">
        <v>120000</v>
      </c>
      <c r="F18" s="660">
        <v>136000</v>
      </c>
      <c r="G18" s="655">
        <f t="shared" si="0"/>
        <v>1.1333333333333333</v>
      </c>
      <c r="H18" s="247"/>
    </row>
    <row r="19" spans="1:8" ht="19.5" customHeight="1">
      <c r="A19" s="334"/>
      <c r="B19" s="320"/>
      <c r="C19" s="284" t="s">
        <v>203</v>
      </c>
      <c r="D19" s="285" t="s">
        <v>198</v>
      </c>
      <c r="E19" s="307">
        <v>13000</v>
      </c>
      <c r="F19" s="661">
        <v>15000</v>
      </c>
      <c r="G19" s="656">
        <f t="shared" si="0"/>
        <v>1.1538461538461537</v>
      </c>
      <c r="H19" s="246"/>
    </row>
    <row r="20" spans="1:8" ht="23.25" customHeight="1">
      <c r="A20" s="633" t="s">
        <v>236</v>
      </c>
      <c r="B20" s="634"/>
      <c r="C20" s="634"/>
      <c r="D20" s="668"/>
      <c r="E20" s="303">
        <f>SUM(E21:E23)</f>
        <v>46500</v>
      </c>
      <c r="F20" s="658">
        <f>SUM(F21:F23)</f>
        <v>50000</v>
      </c>
      <c r="G20" s="654">
        <f t="shared" si="0"/>
        <v>1.075268817204301</v>
      </c>
      <c r="H20" s="246"/>
    </row>
    <row r="21" spans="1:8" ht="26.25" customHeight="1">
      <c r="A21" s="283" t="s">
        <v>25</v>
      </c>
      <c r="B21" s="254">
        <v>75023</v>
      </c>
      <c r="C21" s="251" t="s">
        <v>183</v>
      </c>
      <c r="D21" s="75" t="s">
        <v>199</v>
      </c>
      <c r="E21" s="308">
        <v>6000</v>
      </c>
      <c r="F21" s="662">
        <v>7000</v>
      </c>
      <c r="G21" s="655">
        <f t="shared" si="0"/>
        <v>1.1666666666666667</v>
      </c>
      <c r="H21" s="246"/>
    </row>
    <row r="22" spans="1:8" ht="19.5" customHeight="1">
      <c r="A22" s="300"/>
      <c r="B22" s="319"/>
      <c r="C22" s="251" t="s">
        <v>200</v>
      </c>
      <c r="D22" s="75" t="s">
        <v>201</v>
      </c>
      <c r="E22" s="308">
        <v>35000</v>
      </c>
      <c r="F22" s="662">
        <v>37000</v>
      </c>
      <c r="G22" s="655">
        <f t="shared" si="0"/>
        <v>1.0571428571428572</v>
      </c>
      <c r="H22" s="246"/>
    </row>
    <row r="23" spans="1:8" ht="36.75" customHeight="1">
      <c r="A23" s="334"/>
      <c r="B23" s="320"/>
      <c r="C23" s="284">
        <v>2360</v>
      </c>
      <c r="D23" s="286" t="s">
        <v>202</v>
      </c>
      <c r="E23" s="309">
        <v>5500</v>
      </c>
      <c r="F23" s="663">
        <v>6000</v>
      </c>
      <c r="G23" s="656">
        <f t="shared" si="0"/>
        <v>1.0909090909090908</v>
      </c>
      <c r="H23" s="246"/>
    </row>
    <row r="24" spans="1:8" ht="30" customHeight="1">
      <c r="A24" s="633" t="s">
        <v>620</v>
      </c>
      <c r="B24" s="634"/>
      <c r="C24" s="634"/>
      <c r="D24" s="668"/>
      <c r="E24" s="303">
        <f>SUM(E25:E45)</f>
        <v>23451704</v>
      </c>
      <c r="F24" s="658">
        <f>SUM(F25:F45)</f>
        <v>25699256</v>
      </c>
      <c r="G24" s="654">
        <f t="shared" si="0"/>
        <v>1.0958374709146934</v>
      </c>
      <c r="H24" s="248"/>
    </row>
    <row r="25" spans="1:8" ht="30" customHeight="1">
      <c r="A25" s="336"/>
      <c r="B25" s="254">
        <v>75601</v>
      </c>
      <c r="C25" s="251" t="s">
        <v>204</v>
      </c>
      <c r="D25" s="74" t="s">
        <v>268</v>
      </c>
      <c r="E25" s="310">
        <v>51000</v>
      </c>
      <c r="F25" s="664">
        <v>56000</v>
      </c>
      <c r="G25" s="655">
        <f t="shared" si="0"/>
        <v>1.0980392156862746</v>
      </c>
      <c r="H25" s="246"/>
    </row>
    <row r="26" spans="1:8" ht="21" customHeight="1">
      <c r="A26" s="337"/>
      <c r="B26" s="287"/>
      <c r="C26" s="251" t="s">
        <v>205</v>
      </c>
      <c r="D26" s="75" t="s">
        <v>206</v>
      </c>
      <c r="E26" s="308">
        <v>2000</v>
      </c>
      <c r="F26" s="662">
        <v>2000</v>
      </c>
      <c r="G26" s="655">
        <f t="shared" si="0"/>
        <v>1</v>
      </c>
      <c r="H26" s="246"/>
    </row>
    <row r="27" spans="1:8" ht="21" customHeight="1">
      <c r="A27" s="337"/>
      <c r="B27" s="254">
        <v>75615</v>
      </c>
      <c r="C27" s="251" t="s">
        <v>207</v>
      </c>
      <c r="D27" s="75" t="s">
        <v>208</v>
      </c>
      <c r="E27" s="308">
        <v>10800000</v>
      </c>
      <c r="F27" s="662">
        <f>11442800+38006</f>
        <v>11480806</v>
      </c>
      <c r="G27" s="655">
        <f t="shared" si="0"/>
        <v>1.0630375925925926</v>
      </c>
      <c r="H27" s="246"/>
    </row>
    <row r="28" spans="1:8" ht="21" customHeight="1" thickBot="1">
      <c r="A28" s="645"/>
      <c r="B28" s="646"/>
      <c r="C28" s="650" t="s">
        <v>209</v>
      </c>
      <c r="D28" s="651" t="s">
        <v>210</v>
      </c>
      <c r="E28" s="652">
        <v>35000</v>
      </c>
      <c r="F28" s="665">
        <v>45000</v>
      </c>
      <c r="G28" s="655">
        <f t="shared" si="0"/>
        <v>1.2857142857142858</v>
      </c>
      <c r="H28" s="246"/>
    </row>
    <row r="29" spans="1:8" ht="21" customHeight="1">
      <c r="A29" s="337"/>
      <c r="B29" s="319"/>
      <c r="C29" s="647" t="s">
        <v>211</v>
      </c>
      <c r="D29" s="648" t="s">
        <v>621</v>
      </c>
      <c r="E29" s="649">
        <v>80000</v>
      </c>
      <c r="F29" s="649">
        <v>87000</v>
      </c>
      <c r="G29" s="333">
        <f t="shared" si="0"/>
        <v>1.0875</v>
      </c>
      <c r="H29" s="246"/>
    </row>
    <row r="30" spans="1:8" ht="21" customHeight="1">
      <c r="A30" s="337"/>
      <c r="B30" s="319"/>
      <c r="C30" s="251" t="s">
        <v>212</v>
      </c>
      <c r="D30" s="75" t="s">
        <v>213</v>
      </c>
      <c r="E30" s="308">
        <v>90000</v>
      </c>
      <c r="F30" s="308">
        <v>95800</v>
      </c>
      <c r="G30" s="333">
        <f t="shared" si="0"/>
        <v>1.0644444444444445</v>
      </c>
      <c r="H30" s="246"/>
    </row>
    <row r="31" spans="1:8" ht="21" customHeight="1">
      <c r="A31" s="337"/>
      <c r="B31" s="319"/>
      <c r="C31" s="251" t="s">
        <v>214</v>
      </c>
      <c r="D31" s="75" t="s">
        <v>215</v>
      </c>
      <c r="E31" s="308">
        <v>13000</v>
      </c>
      <c r="F31" s="308">
        <v>15000</v>
      </c>
      <c r="G31" s="333">
        <f t="shared" si="0"/>
        <v>1.1538461538461537</v>
      </c>
      <c r="H31" s="246"/>
    </row>
    <row r="32" spans="1:8" ht="21" customHeight="1">
      <c r="A32" s="337"/>
      <c r="B32" s="321"/>
      <c r="C32" s="251" t="s">
        <v>205</v>
      </c>
      <c r="D32" s="75" t="s">
        <v>206</v>
      </c>
      <c r="E32" s="308">
        <v>35000</v>
      </c>
      <c r="F32" s="308">
        <v>45000</v>
      </c>
      <c r="G32" s="333">
        <f t="shared" si="0"/>
        <v>1.2857142857142858</v>
      </c>
      <c r="H32" s="246"/>
    </row>
    <row r="33" spans="1:8" ht="21" customHeight="1">
      <c r="A33" s="337"/>
      <c r="B33" s="254">
        <v>75616</v>
      </c>
      <c r="C33" s="251" t="s">
        <v>207</v>
      </c>
      <c r="D33" s="75" t="s">
        <v>208</v>
      </c>
      <c r="E33" s="308">
        <v>2150000</v>
      </c>
      <c r="F33" s="308">
        <v>2250000</v>
      </c>
      <c r="G33" s="333">
        <f t="shared" si="0"/>
        <v>1.0465116279069768</v>
      </c>
      <c r="H33" s="246"/>
    </row>
    <row r="34" spans="1:8" ht="21" customHeight="1">
      <c r="A34" s="337"/>
      <c r="B34" s="319"/>
      <c r="C34" s="251" t="s">
        <v>209</v>
      </c>
      <c r="D34" s="75" t="s">
        <v>210</v>
      </c>
      <c r="E34" s="308">
        <v>370000</v>
      </c>
      <c r="F34" s="308">
        <v>380000</v>
      </c>
      <c r="G34" s="333">
        <f t="shared" si="0"/>
        <v>1.027027027027027</v>
      </c>
      <c r="H34" s="246"/>
    </row>
    <row r="35" spans="1:8" ht="19.5" customHeight="1">
      <c r="A35" s="300"/>
      <c r="B35" s="319"/>
      <c r="C35" s="251" t="s">
        <v>211</v>
      </c>
      <c r="D35" s="75" t="s">
        <v>621</v>
      </c>
      <c r="E35" s="308">
        <v>1300</v>
      </c>
      <c r="F35" s="308">
        <v>1400</v>
      </c>
      <c r="G35" s="333">
        <f t="shared" si="0"/>
        <v>1.0769230769230769</v>
      </c>
      <c r="H35" s="246"/>
    </row>
    <row r="36" spans="1:8" ht="19.5" customHeight="1">
      <c r="A36" s="300"/>
      <c r="B36" s="319"/>
      <c r="C36" s="255" t="s">
        <v>212</v>
      </c>
      <c r="D36" s="258" t="s">
        <v>213</v>
      </c>
      <c r="E36" s="311">
        <v>140000</v>
      </c>
      <c r="F36" s="311">
        <v>146800</v>
      </c>
      <c r="G36" s="338">
        <f t="shared" si="0"/>
        <v>1.0485714285714285</v>
      </c>
      <c r="H36" s="246"/>
    </row>
    <row r="37" spans="1:8" ht="19.5" customHeight="1">
      <c r="A37" s="300"/>
      <c r="B37" s="319"/>
      <c r="C37" s="251" t="s">
        <v>216</v>
      </c>
      <c r="D37" s="75" t="s">
        <v>217</v>
      </c>
      <c r="E37" s="308">
        <v>35000</v>
      </c>
      <c r="F37" s="308">
        <v>50000</v>
      </c>
      <c r="G37" s="339">
        <f t="shared" si="0"/>
        <v>1.4285714285714286</v>
      </c>
      <c r="H37" s="246"/>
    </row>
    <row r="38" spans="1:8" ht="19.5" customHeight="1">
      <c r="A38" s="300"/>
      <c r="B38" s="319"/>
      <c r="C38" s="251" t="s">
        <v>218</v>
      </c>
      <c r="D38" s="75" t="s">
        <v>219</v>
      </c>
      <c r="E38" s="308">
        <v>140000</v>
      </c>
      <c r="F38" s="308">
        <v>145000</v>
      </c>
      <c r="G38" s="333">
        <f t="shared" si="0"/>
        <v>1.0357142857142858</v>
      </c>
      <c r="H38" s="246"/>
    </row>
    <row r="39" spans="1:8" ht="19.5" customHeight="1">
      <c r="A39" s="300"/>
      <c r="B39" s="319"/>
      <c r="C39" s="251" t="s">
        <v>214</v>
      </c>
      <c r="D39" s="75" t="s">
        <v>220</v>
      </c>
      <c r="E39" s="308">
        <v>450000</v>
      </c>
      <c r="F39" s="308">
        <v>480000</v>
      </c>
      <c r="G39" s="333">
        <f t="shared" si="0"/>
        <v>1.0666666666666667</v>
      </c>
      <c r="H39" s="246"/>
    </row>
    <row r="40" spans="1:8" ht="19.5" customHeight="1">
      <c r="A40" s="300"/>
      <c r="B40" s="321"/>
      <c r="C40" s="251" t="s">
        <v>221</v>
      </c>
      <c r="D40" s="75" t="s">
        <v>206</v>
      </c>
      <c r="E40" s="308">
        <v>37000</v>
      </c>
      <c r="F40" s="308">
        <v>41000</v>
      </c>
      <c r="G40" s="333">
        <f t="shared" si="0"/>
        <v>1.1081081081081081</v>
      </c>
      <c r="H40" s="246"/>
    </row>
    <row r="41" spans="1:8" ht="19.5" customHeight="1">
      <c r="A41" s="300"/>
      <c r="B41" s="254">
        <v>75618</v>
      </c>
      <c r="C41" s="251" t="s">
        <v>222</v>
      </c>
      <c r="D41" s="75" t="s">
        <v>223</v>
      </c>
      <c r="E41" s="308">
        <v>110000</v>
      </c>
      <c r="F41" s="308">
        <v>115000</v>
      </c>
      <c r="G41" s="333">
        <f t="shared" si="0"/>
        <v>1.0454545454545454</v>
      </c>
      <c r="H41" s="246"/>
    </row>
    <row r="42" spans="1:8" ht="19.5" customHeight="1">
      <c r="A42" s="300"/>
      <c r="B42" s="297"/>
      <c r="C42" s="251" t="s">
        <v>224</v>
      </c>
      <c r="D42" s="75" t="s">
        <v>243</v>
      </c>
      <c r="E42" s="308">
        <v>275000</v>
      </c>
      <c r="F42" s="308">
        <v>285000</v>
      </c>
      <c r="G42" s="333">
        <f t="shared" si="0"/>
        <v>1.0363636363636364</v>
      </c>
      <c r="H42" s="246"/>
    </row>
    <row r="43" spans="1:8" ht="28.5" customHeight="1">
      <c r="A43" s="300"/>
      <c r="B43" s="287"/>
      <c r="C43" s="251" t="s">
        <v>187</v>
      </c>
      <c r="D43" s="74" t="s">
        <v>560</v>
      </c>
      <c r="E43" s="308">
        <v>30000</v>
      </c>
      <c r="F43" s="308">
        <v>35000</v>
      </c>
      <c r="G43" s="333">
        <f t="shared" si="0"/>
        <v>1.1666666666666667</v>
      </c>
      <c r="H43" s="246"/>
    </row>
    <row r="44" spans="1:8" ht="19.5" customHeight="1">
      <c r="A44" s="300"/>
      <c r="B44" s="254">
        <v>75621</v>
      </c>
      <c r="C44" s="251" t="s">
        <v>225</v>
      </c>
      <c r="D44" s="75" t="s">
        <v>226</v>
      </c>
      <c r="E44" s="308">
        <v>7927404</v>
      </c>
      <c r="F44" s="308">
        <v>9223450</v>
      </c>
      <c r="G44" s="333">
        <f t="shared" si="0"/>
        <v>1.1634893339610293</v>
      </c>
      <c r="H44" s="246"/>
    </row>
    <row r="45" spans="1:8" ht="19.5" customHeight="1">
      <c r="A45" s="300"/>
      <c r="B45" s="297"/>
      <c r="C45" s="251" t="s">
        <v>197</v>
      </c>
      <c r="D45" s="75" t="s">
        <v>227</v>
      </c>
      <c r="E45" s="308">
        <v>680000</v>
      </c>
      <c r="F45" s="308">
        <v>720000</v>
      </c>
      <c r="G45" s="333">
        <f t="shared" si="0"/>
        <v>1.0588235294117647</v>
      </c>
      <c r="H45" s="246"/>
    </row>
    <row r="46" spans="1:8" ht="19.5" customHeight="1">
      <c r="A46" s="334"/>
      <c r="B46" s="322"/>
      <c r="C46" s="284"/>
      <c r="D46" s="285"/>
      <c r="E46" s="307" t="s">
        <v>25</v>
      </c>
      <c r="F46" s="307" t="s">
        <v>25</v>
      </c>
      <c r="G46" s="335"/>
      <c r="H46" s="246"/>
    </row>
    <row r="47" spans="1:8" ht="27" customHeight="1">
      <c r="A47" s="340" t="s">
        <v>228</v>
      </c>
      <c r="B47" s="289">
        <v>75814</v>
      </c>
      <c r="C47" s="290" t="s">
        <v>203</v>
      </c>
      <c r="D47" s="291" t="s">
        <v>230</v>
      </c>
      <c r="E47" s="312">
        <v>48000</v>
      </c>
      <c r="F47" s="312">
        <v>55000</v>
      </c>
      <c r="G47" s="341">
        <f t="shared" si="0"/>
        <v>1.1458333333333333</v>
      </c>
      <c r="H47" s="249"/>
    </row>
    <row r="48" spans="1:8" ht="26.25" customHeight="1">
      <c r="A48" s="340" t="s">
        <v>232</v>
      </c>
      <c r="B48" s="289">
        <v>85228</v>
      </c>
      <c r="C48" s="290" t="s">
        <v>233</v>
      </c>
      <c r="D48" s="291" t="s">
        <v>234</v>
      </c>
      <c r="E48" s="312">
        <v>13000</v>
      </c>
      <c r="F48" s="312">
        <v>15000</v>
      </c>
      <c r="G48" s="341">
        <f t="shared" si="0"/>
        <v>1.1538461538461537</v>
      </c>
      <c r="H48" s="249"/>
    </row>
    <row r="49" spans="1:8" ht="24" customHeight="1">
      <c r="A49" s="639" t="s">
        <v>229</v>
      </c>
      <c r="B49" s="640"/>
      <c r="C49" s="640"/>
      <c r="D49" s="641"/>
      <c r="E49" s="313">
        <f>+E50+E51</f>
        <v>8333789</v>
      </c>
      <c r="F49" s="313">
        <f>+F50+F51</f>
        <v>8503473</v>
      </c>
      <c r="G49" s="342">
        <f t="shared" si="0"/>
        <v>1.020360966662343</v>
      </c>
      <c r="H49" s="245"/>
    </row>
    <row r="50" spans="1:8" ht="25.5" customHeight="1">
      <c r="A50" s="343" t="s">
        <v>228</v>
      </c>
      <c r="B50" s="292">
        <v>75801</v>
      </c>
      <c r="C50" s="293">
        <v>2920</v>
      </c>
      <c r="D50" s="294" t="s">
        <v>239</v>
      </c>
      <c r="E50" s="314">
        <v>7934541</v>
      </c>
      <c r="F50" s="314">
        <v>8147038</v>
      </c>
      <c r="G50" s="332">
        <f>+F50/E50</f>
        <v>1.026781259306619</v>
      </c>
      <c r="H50" s="246"/>
    </row>
    <row r="51" spans="1:8" ht="26.25" customHeight="1">
      <c r="A51" s="344"/>
      <c r="B51" s="288">
        <v>75831</v>
      </c>
      <c r="C51" s="284">
        <v>2920</v>
      </c>
      <c r="D51" s="286" t="s">
        <v>231</v>
      </c>
      <c r="E51" s="309">
        <v>399248</v>
      </c>
      <c r="F51" s="309">
        <v>356435</v>
      </c>
      <c r="G51" s="335">
        <f>+F51/E51</f>
        <v>0.8927658998917966</v>
      </c>
      <c r="H51" s="246"/>
    </row>
    <row r="52" spans="1:8" ht="24" customHeight="1">
      <c r="A52" s="666" t="s">
        <v>235</v>
      </c>
      <c r="B52" s="667"/>
      <c r="C52" s="667"/>
      <c r="D52" s="638"/>
      <c r="E52" s="315">
        <f>SUM(E53:E61)</f>
        <v>5222403</v>
      </c>
      <c r="F52" s="315">
        <f>SUM(F53:F61)</f>
        <v>5265376</v>
      </c>
      <c r="G52" s="345">
        <f>F52/E52*100</f>
        <v>100.82285874912374</v>
      </c>
      <c r="H52" s="245"/>
    </row>
    <row r="53" spans="1:8" ht="39" customHeight="1">
      <c r="A53" s="346" t="s">
        <v>577</v>
      </c>
      <c r="B53" s="295">
        <v>1095</v>
      </c>
      <c r="C53" s="290">
        <v>2010</v>
      </c>
      <c r="D53" s="296" t="s">
        <v>578</v>
      </c>
      <c r="E53" s="316">
        <v>30551</v>
      </c>
      <c r="F53" s="316">
        <v>0</v>
      </c>
      <c r="G53" s="341">
        <f t="shared" si="0"/>
        <v>0</v>
      </c>
      <c r="H53" s="246"/>
    </row>
    <row r="54" spans="1:8" ht="39" customHeight="1">
      <c r="A54" s="301" t="s">
        <v>236</v>
      </c>
      <c r="B54" s="297">
        <v>75011</v>
      </c>
      <c r="C54" s="298">
        <v>2010</v>
      </c>
      <c r="D54" s="299" t="s">
        <v>244</v>
      </c>
      <c r="E54" s="317">
        <v>119973</v>
      </c>
      <c r="F54" s="317">
        <v>120780</v>
      </c>
      <c r="G54" s="338">
        <f>+F54/E54</f>
        <v>1.0067265134655297</v>
      </c>
      <c r="H54" s="246"/>
    </row>
    <row r="55" spans="1:8" ht="51" customHeight="1">
      <c r="A55" s="642" t="s">
        <v>622</v>
      </c>
      <c r="B55" s="292">
        <v>75101</v>
      </c>
      <c r="C55" s="293">
        <v>2010</v>
      </c>
      <c r="D55" s="294" t="s">
        <v>623</v>
      </c>
      <c r="E55" s="314">
        <v>3483</v>
      </c>
      <c r="F55" s="314">
        <v>3596</v>
      </c>
      <c r="G55" s="332">
        <f t="shared" si="0"/>
        <v>1.0324432960091874</v>
      </c>
      <c r="H55" s="250"/>
    </row>
    <row r="56" spans="1:8" ht="51" customHeight="1">
      <c r="A56" s="643"/>
      <c r="B56" s="288">
        <v>75108</v>
      </c>
      <c r="C56" s="284">
        <v>2010</v>
      </c>
      <c r="D56" s="286" t="s">
        <v>576</v>
      </c>
      <c r="E56" s="309">
        <v>5696</v>
      </c>
      <c r="F56" s="309"/>
      <c r="G56" s="335"/>
      <c r="H56" s="250"/>
    </row>
    <row r="57" spans="1:8" ht="51.75" customHeight="1">
      <c r="A57" s="340" t="s">
        <v>237</v>
      </c>
      <c r="B57" s="289">
        <v>75212</v>
      </c>
      <c r="C57" s="290">
        <v>2010</v>
      </c>
      <c r="D57" s="296" t="s">
        <v>624</v>
      </c>
      <c r="E57" s="316">
        <v>1000</v>
      </c>
      <c r="F57" s="316">
        <v>1000</v>
      </c>
      <c r="G57" s="341">
        <f t="shared" si="0"/>
        <v>1</v>
      </c>
      <c r="H57" s="250"/>
    </row>
    <row r="58" spans="1:8" ht="47.25">
      <c r="A58" s="346" t="s">
        <v>238</v>
      </c>
      <c r="B58" s="289">
        <v>75414</v>
      </c>
      <c r="C58" s="290">
        <v>2010</v>
      </c>
      <c r="D58" s="296" t="s">
        <v>245</v>
      </c>
      <c r="E58" s="316">
        <v>700</v>
      </c>
      <c r="F58" s="316">
        <v>1000</v>
      </c>
      <c r="G58" s="341">
        <f t="shared" si="0"/>
        <v>1.4285714285714286</v>
      </c>
      <c r="H58" s="250"/>
    </row>
    <row r="59" spans="1:8" ht="47.25" customHeight="1">
      <c r="A59" s="348" t="s">
        <v>232</v>
      </c>
      <c r="B59" s="292">
        <v>85212</v>
      </c>
      <c r="C59" s="293">
        <v>2010</v>
      </c>
      <c r="D59" s="294" t="s">
        <v>251</v>
      </c>
      <c r="E59" s="314">
        <v>4672000</v>
      </c>
      <c r="F59" s="314">
        <v>4736000</v>
      </c>
      <c r="G59" s="332">
        <f t="shared" si="0"/>
        <v>1.0136986301369864</v>
      </c>
      <c r="H59" s="250">
        <f>+F52+F69+F62</f>
        <v>6103775</v>
      </c>
    </row>
    <row r="60" spans="1:8" ht="36" customHeight="1">
      <c r="A60" s="300"/>
      <c r="B60" s="71">
        <v>85213</v>
      </c>
      <c r="C60" s="251">
        <v>2010</v>
      </c>
      <c r="D60" s="74" t="s">
        <v>246</v>
      </c>
      <c r="E60" s="310">
        <v>42000</v>
      </c>
      <c r="F60" s="310">
        <v>40000</v>
      </c>
      <c r="G60" s="333">
        <f t="shared" si="0"/>
        <v>0.9523809523809523</v>
      </c>
      <c r="H60" s="250"/>
    </row>
    <row r="61" spans="1:8" ht="44.25" customHeight="1">
      <c r="A61" s="334"/>
      <c r="B61" s="288">
        <v>85214</v>
      </c>
      <c r="C61" s="284">
        <v>2010</v>
      </c>
      <c r="D61" s="286" t="s">
        <v>247</v>
      </c>
      <c r="E61" s="309">
        <v>347000</v>
      </c>
      <c r="F61" s="309">
        <v>363000</v>
      </c>
      <c r="G61" s="335">
        <f t="shared" si="0"/>
        <v>1.0461095100864553</v>
      </c>
      <c r="H61" s="250"/>
    </row>
    <row r="62" spans="1:8" ht="24.75" customHeight="1">
      <c r="A62" s="666" t="s">
        <v>240</v>
      </c>
      <c r="B62" s="667"/>
      <c r="C62" s="667"/>
      <c r="D62" s="638"/>
      <c r="E62" s="315">
        <f>SUM(E63:E68)</f>
        <v>1150164</v>
      </c>
      <c r="F62" s="315">
        <f>SUM(F63:F68)</f>
        <v>836399</v>
      </c>
      <c r="G62" s="342">
        <f t="shared" si="0"/>
        <v>0.7271997732497278</v>
      </c>
      <c r="H62" s="245"/>
    </row>
    <row r="63" spans="1:8" ht="25.5">
      <c r="A63" s="348" t="s">
        <v>573</v>
      </c>
      <c r="B63" s="292">
        <v>80101</v>
      </c>
      <c r="C63" s="293">
        <v>2030</v>
      </c>
      <c r="D63" s="294" t="s">
        <v>574</v>
      </c>
      <c r="E63" s="314">
        <v>62264</v>
      </c>
      <c r="F63" s="314">
        <v>0</v>
      </c>
      <c r="G63" s="332">
        <f t="shared" si="0"/>
        <v>0</v>
      </c>
      <c r="H63" s="245"/>
    </row>
    <row r="64" spans="1:8" ht="25.5">
      <c r="A64" s="349"/>
      <c r="B64" s="288">
        <v>80195</v>
      </c>
      <c r="C64" s="284">
        <v>2030</v>
      </c>
      <c r="D64" s="286" t="s">
        <v>574</v>
      </c>
      <c r="E64" s="309">
        <v>475901</v>
      </c>
      <c r="F64" s="309">
        <v>306899</v>
      </c>
      <c r="G64" s="335">
        <f>+F64/E64</f>
        <v>0.6448799225048907</v>
      </c>
      <c r="H64" s="245"/>
    </row>
    <row r="65" spans="1:8" ht="32.25" customHeight="1">
      <c r="A65" s="348" t="s">
        <v>232</v>
      </c>
      <c r="B65" s="292">
        <v>85214</v>
      </c>
      <c r="C65" s="293">
        <v>2030</v>
      </c>
      <c r="D65" s="294" t="s">
        <v>248</v>
      </c>
      <c r="E65" s="314">
        <v>126000</v>
      </c>
      <c r="F65" s="314">
        <v>174000</v>
      </c>
      <c r="G65" s="332">
        <f t="shared" si="0"/>
        <v>1.380952380952381</v>
      </c>
      <c r="H65" s="250"/>
    </row>
    <row r="66" spans="1:8" ht="33.75" customHeight="1">
      <c r="A66" s="300"/>
      <c r="B66" s="71">
        <v>85219</v>
      </c>
      <c r="C66" s="251">
        <v>2030</v>
      </c>
      <c r="D66" s="74" t="s">
        <v>249</v>
      </c>
      <c r="E66" s="310">
        <v>246000</v>
      </c>
      <c r="F66" s="310">
        <v>294500</v>
      </c>
      <c r="G66" s="333">
        <f t="shared" si="0"/>
        <v>1.1971544715447155</v>
      </c>
      <c r="H66" s="250"/>
    </row>
    <row r="67" spans="1:8" ht="33.75" customHeight="1">
      <c r="A67" s="300"/>
      <c r="B67" s="71">
        <v>85295</v>
      </c>
      <c r="C67" s="251">
        <v>2030</v>
      </c>
      <c r="D67" s="74" t="s">
        <v>250</v>
      </c>
      <c r="E67" s="310">
        <v>100400</v>
      </c>
      <c r="F67" s="310">
        <v>61000</v>
      </c>
      <c r="G67" s="333">
        <f>+F67/E67</f>
        <v>0.6075697211155379</v>
      </c>
      <c r="H67" s="250"/>
    </row>
    <row r="68" spans="1:8" ht="34.5" customHeight="1">
      <c r="A68" s="334"/>
      <c r="B68" s="288">
        <v>85415</v>
      </c>
      <c r="C68" s="284">
        <v>2030</v>
      </c>
      <c r="D68" s="286" t="s">
        <v>579</v>
      </c>
      <c r="E68" s="309">
        <v>139599</v>
      </c>
      <c r="F68" s="309">
        <v>0</v>
      </c>
      <c r="G68" s="335">
        <f t="shared" si="0"/>
        <v>0</v>
      </c>
      <c r="H68" s="250"/>
    </row>
    <row r="69" spans="1:8" ht="15.75">
      <c r="A69" s="666" t="s">
        <v>566</v>
      </c>
      <c r="B69" s="667"/>
      <c r="C69" s="667"/>
      <c r="D69" s="638"/>
      <c r="E69" s="315">
        <v>1000</v>
      </c>
      <c r="F69" s="315">
        <f>+F70</f>
        <v>2000</v>
      </c>
      <c r="G69" s="338">
        <f t="shared" si="0"/>
        <v>2</v>
      </c>
      <c r="H69" s="250"/>
    </row>
    <row r="70" spans="1:8" ht="34.5" customHeight="1">
      <c r="A70" s="340" t="s">
        <v>567</v>
      </c>
      <c r="B70" s="289">
        <v>71035</v>
      </c>
      <c r="C70" s="290">
        <v>2020</v>
      </c>
      <c r="D70" s="296" t="s">
        <v>568</v>
      </c>
      <c r="E70" s="316">
        <v>1000</v>
      </c>
      <c r="F70" s="316">
        <v>2000</v>
      </c>
      <c r="G70" s="341">
        <f t="shared" si="0"/>
        <v>2</v>
      </c>
      <c r="H70" s="250"/>
    </row>
    <row r="71" spans="1:7" ht="34.5" customHeight="1">
      <c r="A71" s="300"/>
      <c r="B71" s="644" t="s">
        <v>561</v>
      </c>
      <c r="C71" s="635"/>
      <c r="D71" s="636"/>
      <c r="E71" s="318">
        <f>SUM(E72:E73,E77:E78)</f>
        <v>4365975</v>
      </c>
      <c r="F71" s="318">
        <f>SUM(F72:F73,F77:F78)</f>
        <v>9667072</v>
      </c>
      <c r="G71" s="342">
        <f t="shared" si="0"/>
        <v>2.2141840024278654</v>
      </c>
    </row>
    <row r="72" spans="1:8" ht="42" customHeight="1">
      <c r="A72" s="347" t="s">
        <v>562</v>
      </c>
      <c r="B72" s="323">
        <v>70005</v>
      </c>
      <c r="C72" s="293" t="s">
        <v>193</v>
      </c>
      <c r="D72" s="294" t="s">
        <v>563</v>
      </c>
      <c r="E72" s="314">
        <v>15000</v>
      </c>
      <c r="F72" s="314">
        <v>15000</v>
      </c>
      <c r="G72" s="332">
        <f t="shared" si="0"/>
        <v>1</v>
      </c>
      <c r="H72" s="250"/>
    </row>
    <row r="73" spans="1:8" ht="34.5" customHeight="1">
      <c r="A73" s="300"/>
      <c r="B73" s="297"/>
      <c r="C73" s="251" t="s">
        <v>194</v>
      </c>
      <c r="D73" s="74" t="s">
        <v>575</v>
      </c>
      <c r="E73" s="310">
        <f>+E74+E75</f>
        <v>2630000</v>
      </c>
      <c r="F73" s="310">
        <f>+F74+F75</f>
        <v>7650000</v>
      </c>
      <c r="G73" s="333">
        <f t="shared" si="0"/>
        <v>2.908745247148289</v>
      </c>
      <c r="H73" s="250"/>
    </row>
    <row r="74" spans="1:8" ht="15">
      <c r="A74" s="300"/>
      <c r="B74" s="297"/>
      <c r="C74" s="251"/>
      <c r="D74" s="74" t="s">
        <v>195</v>
      </c>
      <c r="E74" s="310">
        <v>130000</v>
      </c>
      <c r="F74" s="310">
        <v>150000</v>
      </c>
      <c r="G74" s="333">
        <f t="shared" si="0"/>
        <v>1.1538461538461537</v>
      </c>
      <c r="H74" s="250"/>
    </row>
    <row r="75" spans="1:8" ht="34.5" customHeight="1">
      <c r="A75" s="334"/>
      <c r="B75" s="322"/>
      <c r="C75" s="284"/>
      <c r="D75" s="286" t="s">
        <v>564</v>
      </c>
      <c r="E75" s="309">
        <f>1200000+1300000</f>
        <v>2500000</v>
      </c>
      <c r="F75" s="309">
        <v>7500000</v>
      </c>
      <c r="G75" s="335">
        <f t="shared" si="0"/>
        <v>3</v>
      </c>
      <c r="H75" s="250"/>
    </row>
    <row r="76" spans="1:8" ht="24.75" customHeight="1">
      <c r="A76" s="666" t="s">
        <v>569</v>
      </c>
      <c r="B76" s="667"/>
      <c r="C76" s="667"/>
      <c r="D76" s="638"/>
      <c r="E76" s="313">
        <v>1523694</v>
      </c>
      <c r="F76" s="313">
        <v>1763006</v>
      </c>
      <c r="G76" s="350">
        <f>F76/E76*100</f>
        <v>115.70604071421164</v>
      </c>
      <c r="H76" s="245"/>
    </row>
    <row r="77" spans="1:8" ht="47.25">
      <c r="A77" s="346" t="s">
        <v>242</v>
      </c>
      <c r="B77" s="289">
        <v>90001</v>
      </c>
      <c r="C77" s="290">
        <v>6298</v>
      </c>
      <c r="D77" s="296" t="s">
        <v>565</v>
      </c>
      <c r="E77" s="316">
        <v>1523694</v>
      </c>
      <c r="F77" s="316">
        <v>1763006</v>
      </c>
      <c r="G77" s="341">
        <f t="shared" si="0"/>
        <v>1.1570604071421164</v>
      </c>
      <c r="H77" s="250" t="s">
        <v>25</v>
      </c>
    </row>
    <row r="78" spans="1:8" ht="48" customHeight="1">
      <c r="A78" s="666" t="s">
        <v>625</v>
      </c>
      <c r="B78" s="667"/>
      <c r="C78" s="667"/>
      <c r="D78" s="638"/>
      <c r="E78" s="315">
        <f>SUM(E79:E79)</f>
        <v>197281</v>
      </c>
      <c r="F78" s="315">
        <f>SUM(F79:F79)</f>
        <v>239066</v>
      </c>
      <c r="G78" s="342">
        <f>+F78/E78</f>
        <v>1.2118044819318636</v>
      </c>
      <c r="H78" s="245"/>
    </row>
    <row r="79" spans="1:8" ht="48" thickBot="1">
      <c r="A79" s="347" t="s">
        <v>242</v>
      </c>
      <c r="B79" s="351">
        <v>90001</v>
      </c>
      <c r="C79" s="352">
        <v>6339</v>
      </c>
      <c r="D79" s="353" t="s">
        <v>626</v>
      </c>
      <c r="E79" s="354">
        <v>197281</v>
      </c>
      <c r="F79" s="354">
        <v>239066</v>
      </c>
      <c r="G79" s="355">
        <f t="shared" si="0"/>
        <v>1.2118044819318636</v>
      </c>
      <c r="H79" s="250"/>
    </row>
    <row r="80" spans="1:8" s="56" customFormat="1" ht="36" customHeight="1" thickBot="1">
      <c r="A80" s="637" t="s">
        <v>263</v>
      </c>
      <c r="B80" s="632"/>
      <c r="C80" s="632"/>
      <c r="D80" s="632"/>
      <c r="E80" s="357">
        <f>+E12+E71</f>
        <v>44195535</v>
      </c>
      <c r="F80" s="357">
        <f>+F12+F71</f>
        <v>51717576</v>
      </c>
      <c r="G80" s="356">
        <f t="shared" si="0"/>
        <v>1.170199116268193</v>
      </c>
      <c r="H80" s="245"/>
    </row>
    <row r="81" spans="2:8" ht="12.75">
      <c r="B81" s="1"/>
      <c r="C81" s="1"/>
      <c r="D81" s="1"/>
      <c r="E81" s="1"/>
      <c r="F81" s="1"/>
      <c r="G81" s="1"/>
      <c r="H81" s="1"/>
    </row>
    <row r="82" spans="1:8" ht="12.75">
      <c r="A82" s="64"/>
      <c r="B82" s="1"/>
      <c r="C82" s="1"/>
      <c r="D82" s="1"/>
      <c r="E82" s="100"/>
      <c r="F82" s="1"/>
      <c r="G82" s="1"/>
      <c r="H82" s="1"/>
    </row>
    <row r="83" spans="2:8" ht="12.75">
      <c r="B83" s="7"/>
      <c r="C83" s="1"/>
      <c r="D83" s="1"/>
      <c r="E83" s="1"/>
      <c r="F83" s="1"/>
      <c r="G83" s="1"/>
      <c r="H83" s="1"/>
    </row>
    <row r="84" spans="2:8" ht="15.75" thickBot="1">
      <c r="B84" s="1"/>
      <c r="C84" s="1"/>
      <c r="D84" s="1"/>
      <c r="E84" s="1"/>
      <c r="F84" s="252">
        <v>51717576</v>
      </c>
      <c r="G84" s="1"/>
      <c r="H84" s="1"/>
    </row>
    <row r="85" spans="2:8" ht="15.75">
      <c r="B85" s="253" t="s">
        <v>241</v>
      </c>
      <c r="C85" s="1"/>
      <c r="D85" s="1"/>
      <c r="E85" s="1"/>
      <c r="F85" s="1"/>
      <c r="G85" s="1"/>
      <c r="H85" s="1"/>
    </row>
    <row r="86" spans="2:8" ht="12.75">
      <c r="B86" s="1"/>
      <c r="C86" s="1"/>
      <c r="D86" s="1"/>
      <c r="E86" s="1"/>
      <c r="F86" s="1"/>
      <c r="G86" s="1"/>
      <c r="H86" s="1"/>
    </row>
    <row r="87" spans="2:8" ht="12.75">
      <c r="B87" s="1"/>
      <c r="C87" s="1"/>
      <c r="D87" s="1"/>
      <c r="E87" s="1"/>
      <c r="F87" s="1"/>
      <c r="G87" s="1"/>
      <c r="H87" s="1"/>
    </row>
    <row r="88" spans="2:8" ht="12.75">
      <c r="B88" s="1"/>
      <c r="C88" s="1"/>
      <c r="D88" s="1"/>
      <c r="E88" s="1"/>
      <c r="F88" s="1"/>
      <c r="G88" s="1"/>
      <c r="H88" s="1"/>
    </row>
    <row r="89" spans="2:8" ht="12.75">
      <c r="B89" s="1"/>
      <c r="C89" s="1"/>
      <c r="D89" s="1"/>
      <c r="E89" s="1"/>
      <c r="F89" s="1"/>
      <c r="G89" s="1"/>
      <c r="H89" s="1"/>
    </row>
    <row r="90" spans="2:8" ht="12.75">
      <c r="B90" s="1"/>
      <c r="C90" s="1"/>
      <c r="D90" s="1"/>
      <c r="E90" s="1"/>
      <c r="F90" s="1"/>
      <c r="G90" s="1"/>
      <c r="H90" s="1"/>
    </row>
    <row r="91" spans="2:8" ht="12.75">
      <c r="B91" s="1"/>
      <c r="C91" s="1"/>
      <c r="D91" s="1"/>
      <c r="E91" s="1"/>
      <c r="F91" s="1"/>
      <c r="G91" s="1"/>
      <c r="H91" s="1"/>
    </row>
    <row r="92" spans="2:8" ht="12.75">
      <c r="B92" s="1"/>
      <c r="C92" s="1"/>
      <c r="D92" s="1"/>
      <c r="E92" s="1"/>
      <c r="F92" s="1"/>
      <c r="G92" s="1"/>
      <c r="H92" s="1"/>
    </row>
    <row r="93" spans="2:8" ht="12.75">
      <c r="B93" s="1"/>
      <c r="C93" s="1"/>
      <c r="D93" s="1"/>
      <c r="E93" s="1"/>
      <c r="F93" s="1"/>
      <c r="G93" s="1"/>
      <c r="H93" s="1"/>
    </row>
    <row r="94" spans="2:8" ht="12.75">
      <c r="B94" s="1"/>
      <c r="C94" s="1"/>
      <c r="D94" s="1"/>
      <c r="E94" s="1"/>
      <c r="F94" s="1"/>
      <c r="G94" s="1"/>
      <c r="H94" s="1"/>
    </row>
    <row r="95" spans="2:8" ht="12.75">
      <c r="B95" s="1"/>
      <c r="C95" s="1"/>
      <c r="D95" s="1"/>
      <c r="E95" s="1"/>
      <c r="F95" s="1"/>
      <c r="G95" s="1"/>
      <c r="H95" s="1"/>
    </row>
    <row r="96" spans="2:8" ht="12.75">
      <c r="B96" s="1"/>
      <c r="C96" s="1"/>
      <c r="D96" s="1"/>
      <c r="E96" s="1"/>
      <c r="F96" s="1"/>
      <c r="G96" s="1"/>
      <c r="H96" s="1"/>
    </row>
    <row r="97" spans="2:8" ht="12.75">
      <c r="B97" s="1"/>
      <c r="C97" s="1"/>
      <c r="D97" s="1"/>
      <c r="E97" s="1"/>
      <c r="F97" s="1"/>
      <c r="G97" s="1"/>
      <c r="H97" s="1"/>
    </row>
    <row r="98" spans="2:8" ht="12.75">
      <c r="B98" s="1"/>
      <c r="C98" s="1"/>
      <c r="D98" s="1"/>
      <c r="E98" s="1"/>
      <c r="F98" s="1"/>
      <c r="G98" s="1"/>
      <c r="H98" s="1"/>
    </row>
    <row r="99" spans="2:8" ht="12.75">
      <c r="B99" s="1"/>
      <c r="C99" s="1"/>
      <c r="D99" s="1"/>
      <c r="E99" s="1"/>
      <c r="F99" s="1"/>
      <c r="G99" s="1"/>
      <c r="H99" s="1"/>
    </row>
    <row r="100" spans="2:8" ht="12.75">
      <c r="B100" s="1"/>
      <c r="C100" s="1"/>
      <c r="D100" s="1"/>
      <c r="E100" s="1"/>
      <c r="F100" s="1"/>
      <c r="G100" s="1"/>
      <c r="H100" s="1"/>
    </row>
    <row r="101" spans="2:8" ht="12.75">
      <c r="B101" s="1"/>
      <c r="C101" s="1"/>
      <c r="D101" s="1"/>
      <c r="E101" s="1"/>
      <c r="F101" s="1"/>
      <c r="G101" s="1"/>
      <c r="H101" s="1"/>
    </row>
    <row r="102" spans="2:8" ht="12.75">
      <c r="B102" s="1"/>
      <c r="C102" s="1"/>
      <c r="D102" s="1"/>
      <c r="E102" s="1"/>
      <c r="F102" s="1"/>
      <c r="G102" s="1"/>
      <c r="H102" s="1"/>
    </row>
    <row r="103" spans="2:8" ht="12.75">
      <c r="B103" s="1"/>
      <c r="C103" s="1"/>
      <c r="D103" s="1"/>
      <c r="E103" s="1"/>
      <c r="F103" s="1"/>
      <c r="G103" s="1"/>
      <c r="H103" s="1"/>
    </row>
    <row r="104" spans="2:8" ht="12.75">
      <c r="B104" s="1"/>
      <c r="C104" s="1"/>
      <c r="D104" s="1"/>
      <c r="E104" s="1"/>
      <c r="F104" s="1"/>
      <c r="G104" s="1"/>
      <c r="H104" s="1"/>
    </row>
    <row r="105" spans="2:8" ht="12.75">
      <c r="B105" s="1"/>
      <c r="C105" s="1"/>
      <c r="D105" s="1"/>
      <c r="E105" s="1"/>
      <c r="F105" s="1"/>
      <c r="G105" s="1"/>
      <c r="H105" s="1"/>
    </row>
    <row r="106" spans="2:8" ht="12.75">
      <c r="B106" s="1"/>
      <c r="C106" s="1"/>
      <c r="D106" s="1"/>
      <c r="E106" s="1"/>
      <c r="F106" s="1"/>
      <c r="G106" s="1"/>
      <c r="H106" s="1"/>
    </row>
    <row r="107" spans="2:8" ht="12.75">
      <c r="B107" s="1"/>
      <c r="C107" s="1"/>
      <c r="D107" s="1"/>
      <c r="E107" s="1"/>
      <c r="F107" s="1"/>
      <c r="G107" s="1"/>
      <c r="H107" s="1"/>
    </row>
    <row r="108" spans="2:8" ht="12.75">
      <c r="B108" s="1"/>
      <c r="C108" s="1"/>
      <c r="D108" s="1"/>
      <c r="E108" s="1"/>
      <c r="F108" s="1"/>
      <c r="G108" s="1"/>
      <c r="H108" s="1"/>
    </row>
    <row r="109" spans="2:8" ht="12.75">
      <c r="B109" s="1"/>
      <c r="C109" s="1"/>
      <c r="D109" s="1"/>
      <c r="E109" s="1"/>
      <c r="F109" s="1"/>
      <c r="G109" s="1"/>
      <c r="H109" s="1"/>
    </row>
    <row r="110" spans="2:8" ht="12.75">
      <c r="B110" s="1"/>
      <c r="C110" s="1"/>
      <c r="D110" s="1"/>
      <c r="E110" s="1"/>
      <c r="F110" s="1"/>
      <c r="G110" s="1"/>
      <c r="H110" s="1"/>
    </row>
    <row r="111" spans="2:8" ht="12.75">
      <c r="B111" s="1"/>
      <c r="C111" s="1"/>
      <c r="D111" s="1"/>
      <c r="E111" s="1"/>
      <c r="F111" s="1"/>
      <c r="G111" s="1"/>
      <c r="H111" s="1"/>
    </row>
    <row r="112" spans="2:8" ht="12.75">
      <c r="B112" s="1"/>
      <c r="C112" s="1"/>
      <c r="D112" s="1"/>
      <c r="E112" s="1"/>
      <c r="F112" s="1"/>
      <c r="G112" s="1"/>
      <c r="H112" s="1"/>
    </row>
    <row r="113" spans="2:8" ht="12.75">
      <c r="B113" s="1"/>
      <c r="C113" s="1"/>
      <c r="D113" s="1"/>
      <c r="E113" s="1"/>
      <c r="F113" s="1"/>
      <c r="G113" s="1"/>
      <c r="H113" s="1"/>
    </row>
    <row r="114" spans="2:8" ht="12.75">
      <c r="B114" s="1"/>
      <c r="C114" s="1"/>
      <c r="D114" s="1"/>
      <c r="E114" s="1"/>
      <c r="F114" s="1"/>
      <c r="G114" s="1"/>
      <c r="H114" s="1"/>
    </row>
  </sheetData>
  <mergeCells count="18">
    <mergeCell ref="A13:D13"/>
    <mergeCell ref="A20:D20"/>
    <mergeCell ref="A24:D24"/>
    <mergeCell ref="B6:G6"/>
    <mergeCell ref="A10:A11"/>
    <mergeCell ref="B10:B11"/>
    <mergeCell ref="C10:C11"/>
    <mergeCell ref="D10:D11"/>
    <mergeCell ref="G10:G11"/>
    <mergeCell ref="B71:D71"/>
    <mergeCell ref="A78:D78"/>
    <mergeCell ref="A76:D76"/>
    <mergeCell ref="A80:D80"/>
    <mergeCell ref="A69:D69"/>
    <mergeCell ref="A62:D62"/>
    <mergeCell ref="A52:D52"/>
    <mergeCell ref="A49:D49"/>
    <mergeCell ref="A55:A56"/>
  </mergeCells>
  <printOptions horizontalCentered="1"/>
  <pageMargins left="0.5511811023622047" right="0.5511811023622047" top="0.5905511811023623" bottom="0.44" header="0.5118110236220472" footer="0.17"/>
  <pageSetup fitToHeight="10" horizontalDpi="300" verticalDpi="300" orientation="landscape" paperSize="9" scale="99" r:id="rId1"/>
  <headerFooter alignWithMargins="0">
    <oddHeader xml:space="preserve">&amp;C </oddHeader>
    <oddFooter>&amp;C&amp;P / &amp;N</oddFooter>
  </headerFooter>
  <rowBreaks count="1" manualBreakCount="1">
    <brk id="61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19"/>
  <sheetViews>
    <sheetView showGridLines="0" view="pageBreakPreview" zoomScaleSheetLayoutView="100" workbookViewId="0" topLeftCell="A1">
      <selection activeCell="F4" sqref="F4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30.75390625" style="0" customWidth="1"/>
    <col min="5" max="5" width="41.25390625" style="0" customWidth="1"/>
    <col min="6" max="6" width="17.625" style="0" customWidth="1"/>
    <col min="7" max="7" width="15.75390625" style="0" customWidth="1"/>
  </cols>
  <sheetData>
    <row r="1" ht="12.75">
      <c r="F1" t="s">
        <v>616</v>
      </c>
    </row>
    <row r="2" ht="12.75">
      <c r="F2" t="s">
        <v>710</v>
      </c>
    </row>
    <row r="3" ht="12.75">
      <c r="F3" t="s">
        <v>196</v>
      </c>
    </row>
    <row r="4" ht="12.75">
      <c r="F4" t="s">
        <v>713</v>
      </c>
    </row>
    <row r="6" spans="1:7" ht="19.5" customHeight="1">
      <c r="A6" s="716" t="s">
        <v>595</v>
      </c>
      <c r="B6" s="716"/>
      <c r="C6" s="716"/>
      <c r="D6" s="716"/>
      <c r="E6" s="716"/>
      <c r="F6" s="716"/>
      <c r="G6" s="716"/>
    </row>
    <row r="7" spans="4:7" ht="19.5" customHeight="1">
      <c r="D7" s="6"/>
      <c r="E7" s="6"/>
      <c r="F7" s="6"/>
      <c r="G7" s="6"/>
    </row>
    <row r="8" spans="4:7" ht="19.5" customHeight="1">
      <c r="D8" s="1"/>
      <c r="E8" s="1"/>
      <c r="F8" s="1"/>
      <c r="G8" s="12" t="s">
        <v>43</v>
      </c>
    </row>
    <row r="9" spans="1:7" ht="19.5" customHeight="1">
      <c r="A9" s="684" t="s">
        <v>63</v>
      </c>
      <c r="B9" s="684" t="s">
        <v>2</v>
      </c>
      <c r="C9" s="684" t="s">
        <v>3</v>
      </c>
      <c r="D9" s="685" t="s">
        <v>74</v>
      </c>
      <c r="E9" s="727" t="s">
        <v>75</v>
      </c>
      <c r="F9" s="433"/>
      <c r="G9" s="685" t="s">
        <v>44</v>
      </c>
    </row>
    <row r="10" spans="1:7" ht="19.5" customHeight="1">
      <c r="A10" s="684"/>
      <c r="B10" s="684"/>
      <c r="C10" s="684"/>
      <c r="D10" s="685"/>
      <c r="E10" s="727"/>
      <c r="F10" s="434"/>
      <c r="G10" s="685"/>
    </row>
    <row r="11" spans="1:7" ht="19.5" customHeight="1">
      <c r="A11" s="684"/>
      <c r="B11" s="684"/>
      <c r="C11" s="684"/>
      <c r="D11" s="685"/>
      <c r="E11" s="727"/>
      <c r="F11" s="435"/>
      <c r="G11" s="685"/>
    </row>
    <row r="12" spans="1:7" ht="15.75" customHeight="1">
      <c r="A12" s="21">
        <v>1</v>
      </c>
      <c r="B12" s="21">
        <v>2</v>
      </c>
      <c r="C12" s="21">
        <v>3</v>
      </c>
      <c r="D12" s="21">
        <v>4</v>
      </c>
      <c r="E12" s="425">
        <v>5</v>
      </c>
      <c r="F12" s="429"/>
      <c r="G12" s="21">
        <v>6</v>
      </c>
    </row>
    <row r="13" spans="1:7" ht="30" customHeight="1">
      <c r="A13" s="29">
        <v>2</v>
      </c>
      <c r="B13" s="29">
        <v>801</v>
      </c>
      <c r="C13" s="29">
        <v>80197</v>
      </c>
      <c r="D13" s="29" t="s">
        <v>637</v>
      </c>
      <c r="E13" s="426" t="s">
        <v>587</v>
      </c>
      <c r="F13" s="430"/>
      <c r="G13" s="83">
        <v>127200</v>
      </c>
    </row>
    <row r="14" spans="1:7" ht="30" customHeight="1">
      <c r="A14" s="29">
        <v>3</v>
      </c>
      <c r="B14" s="29">
        <v>926</v>
      </c>
      <c r="C14" s="29">
        <v>92601</v>
      </c>
      <c r="D14" s="29" t="s">
        <v>638</v>
      </c>
      <c r="E14" s="426" t="s">
        <v>588</v>
      </c>
      <c r="F14" s="430"/>
      <c r="G14" s="83">
        <v>319400</v>
      </c>
    </row>
    <row r="15" spans="1:7" ht="30" customHeight="1">
      <c r="A15" s="29"/>
      <c r="B15" s="29"/>
      <c r="C15" s="29"/>
      <c r="D15" s="29"/>
      <c r="E15" s="426"/>
      <c r="F15" s="430"/>
      <c r="G15" s="83"/>
    </row>
    <row r="16" spans="1:7" ht="30" customHeight="1">
      <c r="A16" s="32"/>
      <c r="B16" s="32"/>
      <c r="C16" s="32"/>
      <c r="D16" s="32"/>
      <c r="E16" s="427"/>
      <c r="F16" s="431"/>
      <c r="G16" s="84"/>
    </row>
    <row r="17" spans="1:7" s="1" customFormat="1" ht="30" customHeight="1">
      <c r="A17" s="732" t="s">
        <v>127</v>
      </c>
      <c r="B17" s="733"/>
      <c r="C17" s="733"/>
      <c r="D17" s="734"/>
      <c r="E17" s="428"/>
      <c r="F17" s="432"/>
      <c r="G17" s="424">
        <f>SUM(G13:G16)</f>
        <v>446600</v>
      </c>
    </row>
    <row r="19" spans="1:4" ht="12.75">
      <c r="A19" s="64" t="s">
        <v>25</v>
      </c>
      <c r="B19" t="s">
        <v>25</v>
      </c>
      <c r="C19" t="s">
        <v>25</v>
      </c>
      <c r="D19" t="s">
        <v>25</v>
      </c>
    </row>
  </sheetData>
  <mergeCells count="8">
    <mergeCell ref="A17:D17"/>
    <mergeCell ref="A6:G6"/>
    <mergeCell ref="G9:G11"/>
    <mergeCell ref="D9:D11"/>
    <mergeCell ref="E9:E11"/>
    <mergeCell ref="A9:A11"/>
    <mergeCell ref="B9:B11"/>
    <mergeCell ref="C9:C11"/>
  </mergeCells>
  <printOptions horizontalCentered="1"/>
  <pageMargins left="0.3937007874015748" right="0.3937007874015748" top="0.72" bottom="0.984251968503937" header="0.32" footer="0.5118110236220472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7"/>
  <sheetViews>
    <sheetView showGridLines="0" view="pageBreakPreview" zoomScaleSheetLayoutView="100" workbookViewId="0" topLeftCell="A1">
      <selection activeCell="A16" sqref="A16:D16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9.375" style="1" customWidth="1"/>
    <col min="5" max="5" width="13.125" style="1" customWidth="1"/>
    <col min="6" max="6" width="22.375" style="1" customWidth="1"/>
    <col min="7" max="16384" width="9.125" style="1" customWidth="1"/>
  </cols>
  <sheetData>
    <row r="1" ht="12.75">
      <c r="E1" t="s">
        <v>617</v>
      </c>
    </row>
    <row r="2" ht="12.75">
      <c r="E2" t="s">
        <v>710</v>
      </c>
    </row>
    <row r="3" ht="12.75">
      <c r="E3" t="s">
        <v>196</v>
      </c>
    </row>
    <row r="4" ht="12.75">
      <c r="E4" t="s">
        <v>709</v>
      </c>
    </row>
    <row r="6" spans="1:6" ht="19.5" customHeight="1">
      <c r="A6" s="688" t="s">
        <v>608</v>
      </c>
      <c r="B6" s="688"/>
      <c r="C6" s="688"/>
      <c r="D6" s="688"/>
      <c r="E6" s="688"/>
      <c r="F6" s="688"/>
    </row>
    <row r="7" spans="4:6" ht="19.5" customHeight="1">
      <c r="D7" s="6"/>
      <c r="E7" s="6"/>
      <c r="F7" s="6"/>
    </row>
    <row r="8" ht="19.5" customHeight="1">
      <c r="F8" s="12" t="s">
        <v>43</v>
      </c>
    </row>
    <row r="9" spans="1:6" ht="19.5" customHeight="1">
      <c r="A9" s="18" t="s">
        <v>63</v>
      </c>
      <c r="B9" s="18" t="s">
        <v>2</v>
      </c>
      <c r="C9" s="18" t="s">
        <v>3</v>
      </c>
      <c r="D9" s="436" t="s">
        <v>47</v>
      </c>
      <c r="E9" s="438"/>
      <c r="F9" s="18" t="s">
        <v>46</v>
      </c>
    </row>
    <row r="10" spans="1:6" ht="18.75" customHeight="1">
      <c r="A10" s="21">
        <v>1</v>
      </c>
      <c r="B10" s="21">
        <v>2</v>
      </c>
      <c r="C10" s="21">
        <v>3</v>
      </c>
      <c r="D10" s="425">
        <v>4</v>
      </c>
      <c r="E10" s="429"/>
      <c r="F10" s="21">
        <v>5</v>
      </c>
    </row>
    <row r="11" spans="1:6" ht="30" customHeight="1">
      <c r="A11" s="98">
        <v>1</v>
      </c>
      <c r="B11" s="98">
        <v>801</v>
      </c>
      <c r="C11" s="98">
        <v>80104</v>
      </c>
      <c r="D11" s="437" t="s">
        <v>639</v>
      </c>
      <c r="E11" s="439"/>
      <c r="F11" s="99">
        <v>549840</v>
      </c>
    </row>
    <row r="12" spans="1:6" ht="30" customHeight="1">
      <c r="A12" s="98">
        <v>2</v>
      </c>
      <c r="B12" s="98">
        <v>801</v>
      </c>
      <c r="C12" s="98">
        <v>80104</v>
      </c>
      <c r="D12" s="437" t="s">
        <v>640</v>
      </c>
      <c r="E12" s="439"/>
      <c r="F12" s="99">
        <v>530880</v>
      </c>
    </row>
    <row r="13" spans="1:6" ht="30" customHeight="1">
      <c r="A13" s="98">
        <v>3</v>
      </c>
      <c r="B13" s="98">
        <v>801</v>
      </c>
      <c r="C13" s="98">
        <v>80104</v>
      </c>
      <c r="D13" s="437" t="s">
        <v>426</v>
      </c>
      <c r="E13" s="439"/>
      <c r="F13" s="99">
        <v>189600</v>
      </c>
    </row>
    <row r="14" spans="1:6" ht="30" customHeight="1">
      <c r="A14" s="98">
        <v>4</v>
      </c>
      <c r="B14" s="98">
        <v>921</v>
      </c>
      <c r="C14" s="98">
        <v>92113</v>
      </c>
      <c r="D14" s="437" t="s">
        <v>589</v>
      </c>
      <c r="E14" s="439"/>
      <c r="F14" s="99">
        <v>561000</v>
      </c>
    </row>
    <row r="15" spans="1:6" ht="30" customHeight="1">
      <c r="A15" s="32"/>
      <c r="B15" s="32">
        <v>921</v>
      </c>
      <c r="C15" s="32">
        <v>92116</v>
      </c>
      <c r="D15" s="427" t="s">
        <v>590</v>
      </c>
      <c r="E15" s="431"/>
      <c r="F15" s="84">
        <v>233000</v>
      </c>
    </row>
    <row r="16" spans="1:6" ht="30" customHeight="1">
      <c r="A16" s="732" t="s">
        <v>127</v>
      </c>
      <c r="B16" s="733"/>
      <c r="C16" s="733"/>
      <c r="D16" s="733"/>
      <c r="E16" s="423"/>
      <c r="F16" s="424">
        <f>SUM(F11:F15)</f>
        <v>2064320</v>
      </c>
    </row>
    <row r="17" ht="12.75">
      <c r="F17" s="100" t="s">
        <v>25</v>
      </c>
    </row>
    <row r="18" spans="1:6" ht="12.75">
      <c r="A18" s="69" t="s">
        <v>25</v>
      </c>
      <c r="B18" s="1" t="s">
        <v>25</v>
      </c>
      <c r="C18" s="1" t="s">
        <v>25</v>
      </c>
      <c r="D18" s="1" t="s">
        <v>25</v>
      </c>
      <c r="F18" s="1" t="s">
        <v>25</v>
      </c>
    </row>
    <row r="19" spans="1:6" ht="12.75">
      <c r="A19" s="64" t="s">
        <v>25</v>
      </c>
      <c r="B19" s="1" t="s">
        <v>25</v>
      </c>
      <c r="C19" s="1" t="s">
        <v>25</v>
      </c>
      <c r="D19" s="1" t="s">
        <v>25</v>
      </c>
      <c r="F19" s="1" t="s">
        <v>25</v>
      </c>
    </row>
    <row r="21" spans="1:4" ht="12.75">
      <c r="A21" s="64" t="s">
        <v>25</v>
      </c>
      <c r="B21" s="1" t="s">
        <v>25</v>
      </c>
      <c r="C21" s="1" t="s">
        <v>25</v>
      </c>
      <c r="D21" s="1" t="s">
        <v>25</v>
      </c>
    </row>
    <row r="27" ht="12.75">
      <c r="F27" s="100">
        <f>+F11+F12+F13</f>
        <v>1270320</v>
      </c>
    </row>
  </sheetData>
  <mergeCells count="2">
    <mergeCell ref="A6:F6"/>
    <mergeCell ref="A16:D16"/>
  </mergeCells>
  <printOptions horizontalCentered="1"/>
  <pageMargins left="0.5511811023622047" right="0.5118110236220472" top="0.69" bottom="0.984251968503937" header="0.5118110236220472" footer="0.5118110236220472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5"/>
  <sheetViews>
    <sheetView showGridLines="0" view="pageBreakPreview" zoomScaleSheetLayoutView="100" workbookViewId="0" topLeftCell="A7">
      <selection activeCell="A23" sqref="A23:D23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77.75390625" style="0" customWidth="1"/>
    <col min="5" max="5" width="8.75390625" style="0" customWidth="1"/>
    <col min="6" max="6" width="19.625" style="0" customWidth="1"/>
  </cols>
  <sheetData>
    <row r="1" ht="12.75">
      <c r="E1" t="s">
        <v>644</v>
      </c>
    </row>
    <row r="2" ht="12.75">
      <c r="E2" t="s">
        <v>710</v>
      </c>
    </row>
    <row r="3" ht="12.75">
      <c r="E3" t="s">
        <v>196</v>
      </c>
    </row>
    <row r="4" ht="12.75">
      <c r="E4" t="s">
        <v>715</v>
      </c>
    </row>
    <row r="7" spans="1:6" ht="48.75" customHeight="1">
      <c r="A7" s="717" t="s">
        <v>591</v>
      </c>
      <c r="B7" s="717"/>
      <c r="C7" s="717"/>
      <c r="D7" s="717"/>
      <c r="E7" s="717"/>
      <c r="F7" s="717"/>
    </row>
    <row r="8" spans="4:6" ht="19.5" customHeight="1">
      <c r="D8" s="6"/>
      <c r="E8" s="6"/>
      <c r="F8" s="6"/>
    </row>
    <row r="9" spans="4:6" ht="11.25" customHeight="1">
      <c r="D9" s="1"/>
      <c r="E9" s="1"/>
      <c r="F9" s="10" t="s">
        <v>43</v>
      </c>
    </row>
    <row r="10" spans="1:6" ht="19.5" customHeight="1">
      <c r="A10" s="18" t="s">
        <v>63</v>
      </c>
      <c r="B10" s="18" t="s">
        <v>2</v>
      </c>
      <c r="C10" s="18" t="s">
        <v>3</v>
      </c>
      <c r="D10" s="436" t="s">
        <v>45</v>
      </c>
      <c r="E10" s="438"/>
      <c r="F10" s="18" t="s">
        <v>46</v>
      </c>
    </row>
    <row r="11" spans="1:6" s="62" customFormat="1" ht="13.5" customHeight="1">
      <c r="A11" s="21">
        <v>1</v>
      </c>
      <c r="B11" s="21">
        <v>2</v>
      </c>
      <c r="C11" s="21">
        <v>3</v>
      </c>
      <c r="D11" s="425">
        <v>4</v>
      </c>
      <c r="E11" s="429"/>
      <c r="F11" s="21">
        <v>5</v>
      </c>
    </row>
    <row r="12" spans="1:6" s="62" customFormat="1" ht="19.5" customHeight="1">
      <c r="A12" s="127">
        <v>1</v>
      </c>
      <c r="B12" s="127">
        <v>600</v>
      </c>
      <c r="C12" s="127">
        <v>60014</v>
      </c>
      <c r="D12" s="440" t="s">
        <v>641</v>
      </c>
      <c r="E12" s="445"/>
      <c r="F12" s="128">
        <v>220000</v>
      </c>
    </row>
    <row r="13" spans="1:6" s="62" customFormat="1" ht="21" customHeight="1">
      <c r="A13" s="127">
        <v>2</v>
      </c>
      <c r="B13" s="127">
        <v>754</v>
      </c>
      <c r="C13" s="127">
        <v>75412</v>
      </c>
      <c r="D13" s="440" t="s">
        <v>716</v>
      </c>
      <c r="E13" s="445"/>
      <c r="F13" s="128">
        <v>190000</v>
      </c>
    </row>
    <row r="14" spans="1:6" ht="21.75" customHeight="1">
      <c r="A14" s="37">
        <v>3</v>
      </c>
      <c r="B14" s="37">
        <v>851</v>
      </c>
      <c r="C14" s="37">
        <v>85111</v>
      </c>
      <c r="D14" s="441" t="s">
        <v>462</v>
      </c>
      <c r="E14" s="446"/>
      <c r="F14" s="96">
        <v>507866</v>
      </c>
    </row>
    <row r="15" spans="1:6" ht="19.5" customHeight="1">
      <c r="A15" s="101">
        <v>4</v>
      </c>
      <c r="B15" s="101">
        <v>926</v>
      </c>
      <c r="C15" s="101">
        <v>92605</v>
      </c>
      <c r="D15" s="442" t="s">
        <v>427</v>
      </c>
      <c r="E15" s="447"/>
      <c r="F15" s="103">
        <v>200000</v>
      </c>
    </row>
    <row r="16" spans="1:6" ht="19.5" customHeight="1">
      <c r="A16" s="101">
        <v>5</v>
      </c>
      <c r="B16" s="101">
        <v>926</v>
      </c>
      <c r="C16" s="101">
        <v>92605</v>
      </c>
      <c r="D16" s="442" t="s">
        <v>428</v>
      </c>
      <c r="E16" s="447"/>
      <c r="F16" s="103">
        <v>50000</v>
      </c>
    </row>
    <row r="17" spans="1:6" ht="19.5" customHeight="1">
      <c r="A17" s="101">
        <v>6</v>
      </c>
      <c r="B17" s="101">
        <v>926</v>
      </c>
      <c r="C17" s="101">
        <v>92605</v>
      </c>
      <c r="D17" s="442" t="s">
        <v>448</v>
      </c>
      <c r="E17" s="447"/>
      <c r="F17" s="103">
        <v>45000</v>
      </c>
    </row>
    <row r="18" spans="1:6" ht="18" customHeight="1">
      <c r="A18" s="101">
        <v>7</v>
      </c>
      <c r="B18" s="101">
        <v>926</v>
      </c>
      <c r="C18" s="101">
        <v>92605</v>
      </c>
      <c r="D18" s="442" t="s">
        <v>449</v>
      </c>
      <c r="E18" s="447"/>
      <c r="F18" s="103">
        <v>22000</v>
      </c>
    </row>
    <row r="19" spans="1:6" ht="17.25" customHeight="1">
      <c r="A19" s="101">
        <v>8</v>
      </c>
      <c r="B19" s="101">
        <v>926</v>
      </c>
      <c r="C19" s="101">
        <v>92605</v>
      </c>
      <c r="D19" s="442" t="s">
        <v>429</v>
      </c>
      <c r="E19" s="447"/>
      <c r="F19" s="103">
        <v>12000</v>
      </c>
    </row>
    <row r="20" spans="1:6" ht="24" customHeight="1">
      <c r="A20" s="101">
        <v>9</v>
      </c>
      <c r="B20" s="101">
        <v>926</v>
      </c>
      <c r="C20" s="101">
        <v>92605</v>
      </c>
      <c r="D20" s="442" t="s">
        <v>592</v>
      </c>
      <c r="E20" s="447"/>
      <c r="F20" s="103">
        <v>45000</v>
      </c>
    </row>
    <row r="21" spans="1:6" ht="26.25" customHeight="1">
      <c r="A21" s="38">
        <v>11</v>
      </c>
      <c r="B21" s="38">
        <v>926</v>
      </c>
      <c r="C21" s="38">
        <v>92605</v>
      </c>
      <c r="D21" s="443" t="s">
        <v>430</v>
      </c>
      <c r="E21" s="448"/>
      <c r="F21" s="97">
        <v>10000</v>
      </c>
    </row>
    <row r="22" spans="1:6" ht="25.5" customHeight="1">
      <c r="A22" s="102">
        <v>12</v>
      </c>
      <c r="B22" s="102">
        <v>926</v>
      </c>
      <c r="C22" s="102">
        <v>92605</v>
      </c>
      <c r="D22" s="444" t="s">
        <v>431</v>
      </c>
      <c r="E22" s="449"/>
      <c r="F22" s="104">
        <v>5000</v>
      </c>
    </row>
    <row r="23" spans="1:6" ht="30" customHeight="1">
      <c r="A23" s="732" t="s">
        <v>127</v>
      </c>
      <c r="B23" s="733"/>
      <c r="C23" s="733"/>
      <c r="D23" s="733"/>
      <c r="E23" s="423"/>
      <c r="F23" s="450">
        <f>SUM(F12:F22)</f>
        <v>1306866</v>
      </c>
    </row>
    <row r="25" spans="1:4" ht="12.75">
      <c r="A25" s="64" t="s">
        <v>25</v>
      </c>
      <c r="B25" t="s">
        <v>25</v>
      </c>
      <c r="C25" t="s">
        <v>25</v>
      </c>
      <c r="D25" t="s">
        <v>25</v>
      </c>
    </row>
  </sheetData>
  <mergeCells count="2">
    <mergeCell ref="A7:F7"/>
    <mergeCell ref="A23:D23"/>
  </mergeCells>
  <printOptions horizontalCentered="1"/>
  <pageMargins left="0.3937007874015748" right="0.3937007874015748" top="0.42" bottom="0.984251968503937" header="0.23" footer="0.5118110236220472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9"/>
  <sheetViews>
    <sheetView showGridLines="0" view="pageBreakPreview" zoomScaleSheetLayoutView="100" workbookViewId="0" topLeftCell="A1">
      <selection activeCell="C4" sqref="C4"/>
    </sheetView>
  </sheetViews>
  <sheetFormatPr defaultColWidth="9.00390625" defaultRowHeight="12.75"/>
  <cols>
    <col min="1" max="1" width="5.25390625" style="1" bestFit="1" customWidth="1"/>
    <col min="2" max="2" width="49.875" style="1" customWidth="1"/>
    <col min="3" max="3" width="18.125" style="1" customWidth="1"/>
    <col min="4" max="4" width="17.75390625" style="1" customWidth="1"/>
    <col min="5" max="16384" width="9.125" style="1" customWidth="1"/>
  </cols>
  <sheetData>
    <row r="1" ht="12.75">
      <c r="C1" t="s">
        <v>618</v>
      </c>
    </row>
    <row r="2" ht="12.75">
      <c r="C2" t="s">
        <v>710</v>
      </c>
    </row>
    <row r="3" ht="12.75">
      <c r="C3" t="s">
        <v>196</v>
      </c>
    </row>
    <row r="4" ht="12.75">
      <c r="C4" t="s">
        <v>709</v>
      </c>
    </row>
    <row r="6" spans="1:11" ht="19.5" customHeight="1">
      <c r="A6" s="716" t="s">
        <v>40</v>
      </c>
      <c r="B6" s="716"/>
      <c r="C6" s="716"/>
      <c r="D6" s="716"/>
      <c r="E6" s="6"/>
      <c r="F6" s="6"/>
      <c r="G6" s="6"/>
      <c r="H6" s="6"/>
      <c r="I6" s="6"/>
      <c r="J6" s="6"/>
      <c r="K6" s="6"/>
    </row>
    <row r="7" spans="1:8" ht="19.5" customHeight="1">
      <c r="A7" s="716" t="s">
        <v>48</v>
      </c>
      <c r="B7" s="716"/>
      <c r="C7" s="716"/>
      <c r="D7" s="716"/>
      <c r="E7" s="6"/>
      <c r="F7" s="6"/>
      <c r="G7" s="6"/>
      <c r="H7" s="6"/>
    </row>
    <row r="9" ht="12.75">
      <c r="D9" s="10" t="s">
        <v>43</v>
      </c>
    </row>
    <row r="10" spans="1:11" ht="19.5" customHeight="1">
      <c r="A10" s="18" t="s">
        <v>63</v>
      </c>
      <c r="B10" s="436" t="s">
        <v>0</v>
      </c>
      <c r="C10" s="438"/>
      <c r="D10" s="18" t="s">
        <v>582</v>
      </c>
      <c r="E10" s="8"/>
      <c r="F10" s="8"/>
      <c r="G10" s="8"/>
      <c r="H10" s="8"/>
      <c r="I10" s="8"/>
      <c r="J10" s="9"/>
      <c r="K10" s="9"/>
    </row>
    <row r="11" spans="1:11" ht="19.5" customHeight="1">
      <c r="A11" s="463" t="s">
        <v>10</v>
      </c>
      <c r="B11" s="464" t="s">
        <v>65</v>
      </c>
      <c r="C11" s="465"/>
      <c r="D11" s="466">
        <f>100000+100000</f>
        <v>200000</v>
      </c>
      <c r="E11" s="8"/>
      <c r="F11" s="8"/>
      <c r="G11" s="8"/>
      <c r="H11" s="8"/>
      <c r="I11" s="8"/>
      <c r="J11" s="9"/>
      <c r="K11" s="9"/>
    </row>
    <row r="12" spans="1:11" ht="19.5" customHeight="1">
      <c r="A12" s="463" t="s">
        <v>16</v>
      </c>
      <c r="B12" s="464" t="s">
        <v>9</v>
      </c>
      <c r="C12" s="465"/>
      <c r="D12" s="466">
        <f>SUM(D13:D15)</f>
        <v>220000</v>
      </c>
      <c r="E12" s="8"/>
      <c r="F12" s="8"/>
      <c r="G12" s="8"/>
      <c r="H12" s="8"/>
      <c r="I12" s="8"/>
      <c r="J12" s="9"/>
      <c r="K12" s="9"/>
    </row>
    <row r="13" spans="1:11" ht="19.5" customHeight="1">
      <c r="A13" s="39" t="s">
        <v>12</v>
      </c>
      <c r="B13" s="451" t="s">
        <v>432</v>
      </c>
      <c r="C13" s="457"/>
      <c r="D13" s="105">
        <v>150000</v>
      </c>
      <c r="E13" s="8"/>
      <c r="F13" s="8"/>
      <c r="G13" s="8"/>
      <c r="H13" s="8"/>
      <c r="I13" s="8"/>
      <c r="J13" s="9"/>
      <c r="K13" s="9"/>
    </row>
    <row r="14" spans="1:11" ht="19.5" customHeight="1">
      <c r="A14" s="28" t="s">
        <v>13</v>
      </c>
      <c r="B14" s="452" t="s">
        <v>433</v>
      </c>
      <c r="C14" s="458"/>
      <c r="D14" s="106">
        <v>70000</v>
      </c>
      <c r="E14" s="8"/>
      <c r="F14" s="8"/>
      <c r="G14" s="8"/>
      <c r="H14" s="8"/>
      <c r="I14" s="8"/>
      <c r="J14" s="9"/>
      <c r="K14" s="9"/>
    </row>
    <row r="15" spans="1:11" ht="19.5" customHeight="1">
      <c r="A15" s="31" t="s">
        <v>25</v>
      </c>
      <c r="B15" s="453"/>
      <c r="C15" s="459"/>
      <c r="D15" s="107"/>
      <c r="E15" s="8"/>
      <c r="F15" s="8"/>
      <c r="G15" s="8"/>
      <c r="H15" s="8"/>
      <c r="I15" s="8"/>
      <c r="J15" s="9"/>
      <c r="K15" s="9"/>
    </row>
    <row r="16" spans="1:11" ht="19.5" customHeight="1">
      <c r="A16" s="463" t="s">
        <v>17</v>
      </c>
      <c r="B16" s="464" t="s">
        <v>8</v>
      </c>
      <c r="C16" s="465"/>
      <c r="D16" s="466">
        <f>+D17+D27</f>
        <v>399000</v>
      </c>
      <c r="E16" s="8"/>
      <c r="F16" s="8"/>
      <c r="G16" s="8"/>
      <c r="H16" s="8"/>
      <c r="I16" s="8"/>
      <c r="J16" s="9"/>
      <c r="K16" s="9"/>
    </row>
    <row r="17" spans="1:11" ht="19.5" customHeight="1">
      <c r="A17" s="467" t="s">
        <v>12</v>
      </c>
      <c r="B17" s="454" t="s">
        <v>38</v>
      </c>
      <c r="C17" s="460"/>
      <c r="D17" s="108">
        <f>SUM(D19:D26)</f>
        <v>399000</v>
      </c>
      <c r="E17" s="8"/>
      <c r="F17" s="8"/>
      <c r="G17" s="8"/>
      <c r="H17" s="8"/>
      <c r="I17" s="8"/>
      <c r="J17" s="9"/>
      <c r="K17" s="9"/>
    </row>
    <row r="18" spans="1:11" ht="15" customHeight="1">
      <c r="A18" s="468"/>
      <c r="B18" s="452" t="s">
        <v>434</v>
      </c>
      <c r="C18" s="458"/>
      <c r="D18" s="106"/>
      <c r="E18" s="8"/>
      <c r="F18" s="8"/>
      <c r="G18" s="8"/>
      <c r="H18" s="8"/>
      <c r="I18" s="8"/>
      <c r="J18" s="9"/>
      <c r="K18" s="9"/>
    </row>
    <row r="19" spans="1:11" ht="15" customHeight="1">
      <c r="A19" s="468"/>
      <c r="B19" s="452" t="s">
        <v>435</v>
      </c>
      <c r="C19" s="458"/>
      <c r="D19" s="106">
        <v>15000</v>
      </c>
      <c r="E19" s="8"/>
      <c r="F19" s="8"/>
      <c r="G19" s="8"/>
      <c r="H19" s="8"/>
      <c r="I19" s="8"/>
      <c r="J19" s="9"/>
      <c r="K19" s="9"/>
    </row>
    <row r="20" spans="1:11" ht="33" customHeight="1">
      <c r="A20" s="468"/>
      <c r="B20" s="455" t="s">
        <v>642</v>
      </c>
      <c r="C20" s="461"/>
      <c r="D20" s="106">
        <v>5000</v>
      </c>
      <c r="E20" s="8"/>
      <c r="F20" s="8"/>
      <c r="G20" s="8"/>
      <c r="H20" s="8"/>
      <c r="I20" s="8"/>
      <c r="J20" s="9"/>
      <c r="K20" s="9"/>
    </row>
    <row r="21" spans="1:11" ht="15" customHeight="1">
      <c r="A21" s="468"/>
      <c r="B21" s="452" t="s">
        <v>436</v>
      </c>
      <c r="C21" s="458"/>
      <c r="D21" s="106">
        <v>3000</v>
      </c>
      <c r="E21" s="8"/>
      <c r="F21" s="8"/>
      <c r="G21" s="8"/>
      <c r="H21" s="8"/>
      <c r="I21" s="8"/>
      <c r="J21" s="9"/>
      <c r="K21" s="9"/>
    </row>
    <row r="22" spans="1:11" ht="15" customHeight="1">
      <c r="A22" s="468"/>
      <c r="B22" s="452" t="s">
        <v>643</v>
      </c>
      <c r="C22" s="458"/>
      <c r="D22" s="106">
        <f>85000+25000</f>
        <v>110000</v>
      </c>
      <c r="E22" s="8"/>
      <c r="F22" s="8"/>
      <c r="G22" s="8"/>
      <c r="H22" s="8"/>
      <c r="I22" s="8"/>
      <c r="J22" s="9"/>
      <c r="K22" s="9"/>
    </row>
    <row r="23" spans="1:11" ht="15" customHeight="1">
      <c r="A23" s="468"/>
      <c r="B23" s="452" t="s">
        <v>437</v>
      </c>
      <c r="C23" s="458"/>
      <c r="D23" s="106">
        <v>70000</v>
      </c>
      <c r="E23" s="8"/>
      <c r="F23" s="8"/>
      <c r="G23" s="8"/>
      <c r="H23" s="8"/>
      <c r="I23" s="8"/>
      <c r="J23" s="9"/>
      <c r="K23" s="9"/>
    </row>
    <row r="24" spans="1:11" ht="15" customHeight="1">
      <c r="A24" s="468"/>
      <c r="B24" s="452" t="s">
        <v>583</v>
      </c>
      <c r="C24" s="458"/>
      <c r="D24" s="106">
        <f>60000+25000</f>
        <v>85000</v>
      </c>
      <c r="E24" s="8"/>
      <c r="F24" s="8"/>
      <c r="G24" s="8"/>
      <c r="H24" s="8"/>
      <c r="I24" s="8"/>
      <c r="J24" s="9"/>
      <c r="K24" s="9"/>
    </row>
    <row r="25" spans="1:11" ht="15" customHeight="1">
      <c r="A25" s="468"/>
      <c r="B25" s="452" t="s">
        <v>585</v>
      </c>
      <c r="C25" s="458"/>
      <c r="D25" s="106">
        <f>81000+30000</f>
        <v>111000</v>
      </c>
      <c r="E25" s="8"/>
      <c r="F25" s="8"/>
      <c r="G25" s="8"/>
      <c r="H25" s="8"/>
      <c r="I25" s="8"/>
      <c r="J25" s="9"/>
      <c r="K25" s="9"/>
    </row>
    <row r="26" spans="1:11" ht="15" customHeight="1">
      <c r="A26" s="39"/>
      <c r="B26" s="452"/>
      <c r="C26" s="458"/>
      <c r="D26" s="106"/>
      <c r="E26" s="8"/>
      <c r="F26" s="8"/>
      <c r="G26" s="8"/>
      <c r="H26" s="8"/>
      <c r="I26" s="8"/>
      <c r="J26" s="9"/>
      <c r="K26" s="9"/>
    </row>
    <row r="27" spans="1:11" ht="19.5" customHeight="1">
      <c r="A27" s="469" t="s">
        <v>13</v>
      </c>
      <c r="B27" s="452" t="s">
        <v>41</v>
      </c>
      <c r="C27" s="458"/>
      <c r="D27" s="106">
        <v>0</v>
      </c>
      <c r="E27" s="8"/>
      <c r="F27" s="8"/>
      <c r="G27" s="8"/>
      <c r="H27" s="8"/>
      <c r="I27" s="8"/>
      <c r="J27" s="9"/>
      <c r="K27" s="9"/>
    </row>
    <row r="28" spans="1:11" ht="15" customHeight="1">
      <c r="A28" s="470"/>
      <c r="B28" s="456"/>
      <c r="C28" s="462"/>
      <c r="D28" s="107"/>
      <c r="E28" s="8"/>
      <c r="F28" s="8"/>
      <c r="G28" s="8"/>
      <c r="H28" s="8"/>
      <c r="I28" s="8"/>
      <c r="J28" s="9"/>
      <c r="K28" s="9"/>
    </row>
    <row r="29" spans="1:11" ht="19.5" customHeight="1">
      <c r="A29" s="463" t="s">
        <v>39</v>
      </c>
      <c r="B29" s="464" t="s">
        <v>67</v>
      </c>
      <c r="C29" s="465"/>
      <c r="D29" s="466">
        <f>+D11+D12-D16</f>
        <v>21000</v>
      </c>
      <c r="E29" s="8"/>
      <c r="F29" s="8"/>
      <c r="G29" s="8"/>
      <c r="H29" s="8"/>
      <c r="I29" s="8"/>
      <c r="J29" s="9"/>
      <c r="K29" s="9"/>
    </row>
    <row r="30" spans="1:11" ht="15">
      <c r="A30" s="8"/>
      <c r="B30" s="8"/>
      <c r="C30" s="8"/>
      <c r="D30" s="8"/>
      <c r="E30" s="8"/>
      <c r="F30" s="8"/>
      <c r="G30" s="8"/>
      <c r="H30" s="8"/>
      <c r="I30" s="8"/>
      <c r="J30" s="9"/>
      <c r="K30" s="9"/>
    </row>
    <row r="31" spans="1:11" ht="15">
      <c r="A31" s="8"/>
      <c r="B31" s="8"/>
      <c r="C31" s="8"/>
      <c r="D31" s="8"/>
      <c r="E31" s="8"/>
      <c r="F31" s="8"/>
      <c r="G31" s="8"/>
      <c r="H31" s="8"/>
      <c r="I31" s="8"/>
      <c r="J31" s="9"/>
      <c r="K31" s="9"/>
    </row>
    <row r="32" spans="1:11" ht="15">
      <c r="A32" s="8"/>
      <c r="B32" s="8"/>
      <c r="C32" s="8"/>
      <c r="D32" s="8"/>
      <c r="E32" s="8"/>
      <c r="F32" s="8"/>
      <c r="G32" s="8"/>
      <c r="H32" s="8"/>
      <c r="I32" s="8"/>
      <c r="J32" s="9"/>
      <c r="K32" s="9"/>
    </row>
    <row r="33" spans="1:11" ht="15">
      <c r="A33" s="8"/>
      <c r="B33" s="8"/>
      <c r="C33" s="8"/>
      <c r="D33" s="8"/>
      <c r="E33" s="8"/>
      <c r="F33" s="8"/>
      <c r="G33" s="8"/>
      <c r="H33" s="8"/>
      <c r="I33" s="8"/>
      <c r="J33" s="9"/>
      <c r="K33" s="9"/>
    </row>
    <row r="34" spans="1:11" ht="15">
      <c r="A34" s="8"/>
      <c r="B34" s="8"/>
      <c r="C34" s="8"/>
      <c r="D34" s="8"/>
      <c r="E34" s="8"/>
      <c r="F34" s="8"/>
      <c r="G34" s="8"/>
      <c r="H34" s="8"/>
      <c r="I34" s="8"/>
      <c r="J34" s="9"/>
      <c r="K34" s="9"/>
    </row>
    <row r="35" spans="1:11" ht="15">
      <c r="A35" s="8"/>
      <c r="B35" s="8"/>
      <c r="C35" s="8"/>
      <c r="D35" s="8"/>
      <c r="E35" s="8"/>
      <c r="F35" s="8"/>
      <c r="G35" s="8"/>
      <c r="H35" s="8"/>
      <c r="I35" s="8"/>
      <c r="J35" s="9"/>
      <c r="K35" s="9"/>
    </row>
    <row r="36" spans="1:11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</sheetData>
  <mergeCells count="2">
    <mergeCell ref="A6:D6"/>
    <mergeCell ref="A7:D7"/>
  </mergeCells>
  <printOptions horizontalCentered="1"/>
  <pageMargins left="0.5905511811023623" right="0.5905511811023623" top="0.72" bottom="0.5905511811023623" header="0.27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showGridLines="0" view="pageBreakPreview" zoomScale="90" zoomScaleSheetLayoutView="90" workbookViewId="0" topLeftCell="D1">
      <selection activeCell="I4" sqref="I4"/>
    </sheetView>
  </sheetViews>
  <sheetFormatPr defaultColWidth="9.00390625" defaultRowHeight="12.75"/>
  <cols>
    <col min="1" max="1" width="6.25390625" style="0" customWidth="1"/>
    <col min="2" max="2" width="41.75390625" style="0" customWidth="1"/>
    <col min="3" max="3" width="16.875" style="0" hidden="1" customWidth="1"/>
    <col min="4" max="4" width="16.875" style="0" customWidth="1"/>
    <col min="5" max="5" width="15.75390625" style="0" hidden="1" customWidth="1"/>
    <col min="6" max="9" width="15.75390625" style="0" customWidth="1"/>
    <col min="10" max="11" width="16.25390625" style="0" customWidth="1"/>
    <col min="12" max="13" width="15.75390625" style="0" customWidth="1"/>
    <col min="14" max="14" width="16.125" style="0" customWidth="1"/>
    <col min="15" max="15" width="13.75390625" style="0" customWidth="1"/>
  </cols>
  <sheetData>
    <row r="1" ht="12.75">
      <c r="L1" t="s">
        <v>619</v>
      </c>
    </row>
    <row r="2" ht="12.75">
      <c r="L2" t="s">
        <v>708</v>
      </c>
    </row>
    <row r="3" ht="12.75">
      <c r="L3" t="s">
        <v>196</v>
      </c>
    </row>
    <row r="4" ht="12.75">
      <c r="L4" t="s">
        <v>713</v>
      </c>
    </row>
    <row r="5" spans="11:14" ht="18">
      <c r="K5" s="137"/>
      <c r="L5" s="137"/>
      <c r="M5" s="137"/>
      <c r="N5" s="6"/>
    </row>
    <row r="6" spans="1:14" ht="18" customHeight="1">
      <c r="A6" s="735" t="s">
        <v>717</v>
      </c>
      <c r="B6" s="735"/>
      <c r="C6" s="735"/>
      <c r="D6" s="735"/>
      <c r="E6" s="735"/>
      <c r="F6" s="735"/>
      <c r="G6" s="735"/>
      <c r="H6" s="735"/>
      <c r="I6" s="735"/>
      <c r="J6" s="735"/>
      <c r="K6" s="137"/>
      <c r="L6" s="137"/>
      <c r="M6" s="137"/>
      <c r="N6" s="6"/>
    </row>
    <row r="7" spans="1:14" ht="15.75" thickBot="1">
      <c r="A7" s="138"/>
      <c r="B7" s="138"/>
      <c r="C7" s="138"/>
      <c r="D7" s="138"/>
      <c r="E7" s="259"/>
      <c r="F7" s="138"/>
      <c r="G7" s="138"/>
      <c r="H7" s="138"/>
      <c r="I7" s="138"/>
      <c r="K7" s="139"/>
      <c r="L7" s="139" t="s">
        <v>43</v>
      </c>
      <c r="M7" s="139"/>
      <c r="N7" s="55"/>
    </row>
    <row r="8" spans="1:15" s="48" customFormat="1" ht="35.25" customHeight="1">
      <c r="A8" s="736" t="s">
        <v>63</v>
      </c>
      <c r="B8" s="738" t="s">
        <v>0</v>
      </c>
      <c r="C8" s="740" t="s">
        <v>110</v>
      </c>
      <c r="D8" s="740" t="s">
        <v>580</v>
      </c>
      <c r="E8" s="475"/>
      <c r="F8" s="742" t="s">
        <v>101</v>
      </c>
      <c r="G8" s="743"/>
      <c r="H8" s="743"/>
      <c r="I8" s="743"/>
      <c r="J8" s="743"/>
      <c r="K8" s="743"/>
      <c r="L8" s="743"/>
      <c r="M8" s="744"/>
      <c r="N8" s="472"/>
      <c r="O8" s="144"/>
    </row>
    <row r="9" spans="1:15" s="48" customFormat="1" ht="23.25" customHeight="1" thickBot="1">
      <c r="A9" s="737"/>
      <c r="B9" s="739"/>
      <c r="C9" s="741"/>
      <c r="D9" s="741"/>
      <c r="E9" s="482">
        <v>2007</v>
      </c>
      <c r="F9" s="482">
        <v>2008</v>
      </c>
      <c r="G9" s="482">
        <v>2009</v>
      </c>
      <c r="H9" s="482">
        <v>2010</v>
      </c>
      <c r="I9" s="482">
        <v>2011</v>
      </c>
      <c r="J9" s="482">
        <v>2012</v>
      </c>
      <c r="K9" s="482">
        <v>2013</v>
      </c>
      <c r="L9" s="482">
        <v>2014</v>
      </c>
      <c r="M9" s="483">
        <v>2015</v>
      </c>
      <c r="N9" s="473"/>
      <c r="O9" s="144"/>
    </row>
    <row r="10" spans="1:15" s="48" customFormat="1" ht="28.5" customHeight="1">
      <c r="A10" s="514" t="s">
        <v>12</v>
      </c>
      <c r="B10" s="515" t="s">
        <v>463</v>
      </c>
      <c r="C10" s="516">
        <v>3970000</v>
      </c>
      <c r="D10" s="516">
        <f>+D11+D15</f>
        <v>9175000</v>
      </c>
      <c r="E10" s="516">
        <f>+E11+E15</f>
        <v>9175000</v>
      </c>
      <c r="F10" s="516">
        <f aca="true" t="shared" si="0" ref="F10:M10">+F11+F15</f>
        <v>11325000</v>
      </c>
      <c r="G10" s="516">
        <f t="shared" si="0"/>
        <v>8725000</v>
      </c>
      <c r="H10" s="516">
        <f t="shared" si="0"/>
        <v>6125000</v>
      </c>
      <c r="I10" s="516">
        <f t="shared" si="0"/>
        <v>4500000</v>
      </c>
      <c r="J10" s="516">
        <f t="shared" si="0"/>
        <v>2875000</v>
      </c>
      <c r="K10" s="516">
        <f t="shared" si="0"/>
        <v>1250000</v>
      </c>
      <c r="L10" s="516">
        <f t="shared" si="0"/>
        <v>625000</v>
      </c>
      <c r="M10" s="517">
        <f t="shared" si="0"/>
        <v>0</v>
      </c>
      <c r="N10" s="474"/>
      <c r="O10" s="144"/>
    </row>
    <row r="11" spans="1:14" s="47" customFormat="1" ht="31.5" customHeight="1">
      <c r="A11" s="489" t="s">
        <v>91</v>
      </c>
      <c r="B11" s="490" t="s">
        <v>174</v>
      </c>
      <c r="C11" s="491">
        <v>3970000</v>
      </c>
      <c r="D11" s="491">
        <f>SUM(D12:D14)</f>
        <v>9175000</v>
      </c>
      <c r="E11" s="491">
        <f>SUM(E12:E14)</f>
        <v>2425000</v>
      </c>
      <c r="F11" s="491">
        <f aca="true" t="shared" si="1" ref="F11:M11">SUM(F12:F14)</f>
        <v>6325000</v>
      </c>
      <c r="G11" s="491">
        <f t="shared" si="1"/>
        <v>8725000</v>
      </c>
      <c r="H11" s="491">
        <f t="shared" si="1"/>
        <v>6125000</v>
      </c>
      <c r="I11" s="491">
        <f t="shared" si="1"/>
        <v>4500000</v>
      </c>
      <c r="J11" s="491">
        <f t="shared" si="1"/>
        <v>2875000</v>
      </c>
      <c r="K11" s="491">
        <f t="shared" si="1"/>
        <v>1250000</v>
      </c>
      <c r="L11" s="491">
        <f t="shared" si="1"/>
        <v>625000</v>
      </c>
      <c r="M11" s="492">
        <f t="shared" si="1"/>
        <v>0</v>
      </c>
      <c r="N11" s="129"/>
    </row>
    <row r="12" spans="1:14" s="47" customFormat="1" ht="15" customHeight="1">
      <c r="A12" s="493" t="s">
        <v>157</v>
      </c>
      <c r="B12" s="494" t="s">
        <v>102</v>
      </c>
      <c r="C12" s="495">
        <v>320000</v>
      </c>
      <c r="D12" s="495">
        <v>0</v>
      </c>
      <c r="E12" s="495">
        <v>0</v>
      </c>
      <c r="F12" s="495"/>
      <c r="G12" s="495"/>
      <c r="H12" s="495"/>
      <c r="I12" s="495"/>
      <c r="J12" s="496"/>
      <c r="K12" s="496"/>
      <c r="L12" s="496"/>
      <c r="M12" s="497"/>
      <c r="N12" s="129"/>
    </row>
    <row r="13" spans="1:14" s="47" customFormat="1" ht="15" customHeight="1">
      <c r="A13" s="493" t="s">
        <v>158</v>
      </c>
      <c r="B13" s="494" t="s">
        <v>103</v>
      </c>
      <c r="C13" s="495">
        <v>2400000</v>
      </c>
      <c r="D13" s="495">
        <f>1800000+3000000</f>
        <v>4800000</v>
      </c>
      <c r="E13" s="495">
        <v>1800000</v>
      </c>
      <c r="F13" s="495">
        <f>1200000+2000000</f>
        <v>3200000</v>
      </c>
      <c r="G13" s="495">
        <f>600000+1000000+4000000</f>
        <v>5600000</v>
      </c>
      <c r="H13" s="495">
        <v>3000000</v>
      </c>
      <c r="I13" s="495">
        <v>2000000</v>
      </c>
      <c r="J13" s="495">
        <v>1000000</v>
      </c>
      <c r="K13" s="495"/>
      <c r="L13" s="496"/>
      <c r="M13" s="497"/>
      <c r="N13" s="130"/>
    </row>
    <row r="14" spans="1:14" s="47" customFormat="1" ht="18.75" customHeight="1">
      <c r="A14" s="498" t="s">
        <v>159</v>
      </c>
      <c r="B14" s="499" t="s">
        <v>104</v>
      </c>
      <c r="C14" s="500">
        <v>1250000</v>
      </c>
      <c r="D14" s="500">
        <f>625000+3750000</f>
        <v>4375000</v>
      </c>
      <c r="E14" s="500">
        <v>625000</v>
      </c>
      <c r="F14" s="500">
        <v>3125000</v>
      </c>
      <c r="G14" s="500">
        <v>3125000</v>
      </c>
      <c r="H14" s="500">
        <v>3125000</v>
      </c>
      <c r="I14" s="500">
        <v>2500000</v>
      </c>
      <c r="J14" s="500">
        <v>1875000</v>
      </c>
      <c r="K14" s="500">
        <v>1250000</v>
      </c>
      <c r="L14" s="500">
        <v>625000</v>
      </c>
      <c r="M14" s="501"/>
      <c r="N14" s="130"/>
    </row>
    <row r="15" spans="1:14" s="47" customFormat="1" ht="32.25" customHeight="1">
      <c r="A15" s="489" t="s">
        <v>93</v>
      </c>
      <c r="B15" s="490" t="s">
        <v>175</v>
      </c>
      <c r="C15" s="502">
        <v>0</v>
      </c>
      <c r="D15" s="491">
        <f>SUM(D16:D19)</f>
        <v>0</v>
      </c>
      <c r="E15" s="491">
        <f>SUM(E16:E19)</f>
        <v>6750000</v>
      </c>
      <c r="F15" s="491">
        <f aca="true" t="shared" si="2" ref="F15:M15">SUM(F16:F19)</f>
        <v>5000000</v>
      </c>
      <c r="G15" s="491">
        <f t="shared" si="2"/>
        <v>0</v>
      </c>
      <c r="H15" s="491">
        <f t="shared" si="2"/>
        <v>0</v>
      </c>
      <c r="I15" s="491">
        <f t="shared" si="2"/>
        <v>0</v>
      </c>
      <c r="J15" s="491">
        <f t="shared" si="2"/>
        <v>0</v>
      </c>
      <c r="K15" s="491">
        <f t="shared" si="2"/>
        <v>0</v>
      </c>
      <c r="L15" s="491">
        <f t="shared" si="2"/>
        <v>0</v>
      </c>
      <c r="M15" s="492">
        <f t="shared" si="2"/>
        <v>0</v>
      </c>
      <c r="N15" s="129"/>
    </row>
    <row r="16" spans="1:14" s="47" customFormat="1" ht="15" customHeight="1">
      <c r="A16" s="493" t="s">
        <v>160</v>
      </c>
      <c r="B16" s="494" t="s">
        <v>105</v>
      </c>
      <c r="C16" s="503">
        <v>0</v>
      </c>
      <c r="D16" s="495"/>
      <c r="E16" s="495"/>
      <c r="F16" s="495"/>
      <c r="G16" s="495"/>
      <c r="H16" s="495"/>
      <c r="I16" s="495"/>
      <c r="J16" s="496"/>
      <c r="K16" s="496"/>
      <c r="L16" s="496"/>
      <c r="M16" s="497"/>
      <c r="N16" s="129"/>
    </row>
    <row r="17" spans="1:14" s="47" customFormat="1" ht="15" customHeight="1">
      <c r="A17" s="493" t="s">
        <v>161</v>
      </c>
      <c r="B17" s="494" t="s">
        <v>106</v>
      </c>
      <c r="C17" s="503">
        <v>0</v>
      </c>
      <c r="D17" s="495"/>
      <c r="E17" s="495">
        <v>3000000</v>
      </c>
      <c r="F17" s="495">
        <v>5000000</v>
      </c>
      <c r="G17" s="495"/>
      <c r="H17" s="495"/>
      <c r="I17" s="495"/>
      <c r="J17" s="496"/>
      <c r="K17" s="496"/>
      <c r="L17" s="496"/>
      <c r="M17" s="497"/>
      <c r="N17" s="129"/>
    </row>
    <row r="18" spans="1:14" s="47" customFormat="1" ht="15" customHeight="1">
      <c r="A18" s="493"/>
      <c r="B18" s="504" t="s">
        <v>571</v>
      </c>
      <c r="C18" s="503">
        <v>0</v>
      </c>
      <c r="D18" s="495"/>
      <c r="E18" s="495"/>
      <c r="F18" s="495"/>
      <c r="G18" s="495"/>
      <c r="H18" s="495"/>
      <c r="I18" s="495"/>
      <c r="J18" s="496"/>
      <c r="K18" s="496"/>
      <c r="L18" s="496"/>
      <c r="M18" s="497"/>
      <c r="N18" s="129"/>
    </row>
    <row r="19" spans="1:14" s="47" customFormat="1" ht="15" customHeight="1">
      <c r="A19" s="498" t="s">
        <v>162</v>
      </c>
      <c r="B19" s="499" t="s">
        <v>86</v>
      </c>
      <c r="C19" s="505">
        <v>0</v>
      </c>
      <c r="D19" s="500"/>
      <c r="E19" s="500">
        <v>3750000</v>
      </c>
      <c r="F19" s="500"/>
      <c r="G19" s="500"/>
      <c r="H19" s="500"/>
      <c r="I19" s="500"/>
      <c r="J19" s="506"/>
      <c r="K19" s="506"/>
      <c r="L19" s="506"/>
      <c r="M19" s="507"/>
      <c r="N19" s="129"/>
    </row>
    <row r="20" spans="1:14" s="47" customFormat="1" ht="29.25" customHeight="1">
      <c r="A20" s="489" t="s">
        <v>94</v>
      </c>
      <c r="B20" s="490" t="s">
        <v>107</v>
      </c>
      <c r="C20" s="508">
        <v>0</v>
      </c>
      <c r="D20" s="509">
        <v>0</v>
      </c>
      <c r="E20" s="509">
        <v>0</v>
      </c>
      <c r="F20" s="509">
        <v>0</v>
      </c>
      <c r="G20" s="509">
        <v>0</v>
      </c>
      <c r="H20" s="509">
        <v>0</v>
      </c>
      <c r="I20" s="509">
        <v>0</v>
      </c>
      <c r="J20" s="510">
        <v>0</v>
      </c>
      <c r="K20" s="510"/>
      <c r="L20" s="510">
        <v>0</v>
      </c>
      <c r="M20" s="511">
        <v>0</v>
      </c>
      <c r="N20" s="131"/>
    </row>
    <row r="21" spans="1:14" s="47" customFormat="1" ht="15" customHeight="1">
      <c r="A21" s="493" t="s">
        <v>176</v>
      </c>
      <c r="B21" s="504" t="s">
        <v>178</v>
      </c>
      <c r="C21" s="503">
        <v>0</v>
      </c>
      <c r="D21" s="495"/>
      <c r="E21" s="495"/>
      <c r="F21" s="495"/>
      <c r="G21" s="495"/>
      <c r="H21" s="495"/>
      <c r="I21" s="495"/>
      <c r="J21" s="496"/>
      <c r="K21" s="496"/>
      <c r="L21" s="496"/>
      <c r="M21" s="497"/>
      <c r="N21" s="132"/>
    </row>
    <row r="22" spans="1:14" s="47" customFormat="1" ht="15" customHeight="1" thickBot="1">
      <c r="A22" s="518" t="s">
        <v>177</v>
      </c>
      <c r="B22" s="519" t="s">
        <v>179</v>
      </c>
      <c r="C22" s="520">
        <v>0</v>
      </c>
      <c r="D22" s="521"/>
      <c r="E22" s="521"/>
      <c r="F22" s="521"/>
      <c r="G22" s="521"/>
      <c r="H22" s="521"/>
      <c r="I22" s="521"/>
      <c r="J22" s="522"/>
      <c r="K22" s="522"/>
      <c r="L22" s="522"/>
      <c r="M22" s="523"/>
      <c r="N22" s="132"/>
    </row>
    <row r="23" spans="1:14" s="48" customFormat="1" ht="22.5" customHeight="1">
      <c r="A23" s="514">
        <v>2</v>
      </c>
      <c r="B23" s="515" t="s">
        <v>173</v>
      </c>
      <c r="C23" s="516">
        <v>1268400</v>
      </c>
      <c r="D23" s="516">
        <f>+D24+D29</f>
        <v>1942600</v>
      </c>
      <c r="E23" s="516">
        <f>+E24+E29</f>
        <v>1942600</v>
      </c>
      <c r="F23" s="516">
        <f aca="true" t="shared" si="3" ref="F23:M23">+F24+F29</f>
        <v>3567000</v>
      </c>
      <c r="G23" s="516">
        <f t="shared" si="3"/>
        <v>3138000</v>
      </c>
      <c r="H23" s="516">
        <f t="shared" si="3"/>
        <v>3018000</v>
      </c>
      <c r="I23" s="516">
        <f t="shared" si="3"/>
        <v>1900000</v>
      </c>
      <c r="J23" s="516">
        <f t="shared" si="3"/>
        <v>1820000</v>
      </c>
      <c r="K23" s="516">
        <f t="shared" si="3"/>
        <v>1740000</v>
      </c>
      <c r="L23" s="516">
        <f t="shared" si="3"/>
        <v>658000</v>
      </c>
      <c r="M23" s="517">
        <f t="shared" si="3"/>
        <v>640000</v>
      </c>
      <c r="N23" s="130"/>
    </row>
    <row r="24" spans="1:14" s="48" customFormat="1" ht="28.5" customHeight="1">
      <c r="A24" s="489" t="s">
        <v>96</v>
      </c>
      <c r="B24" s="512" t="s">
        <v>172</v>
      </c>
      <c r="C24" s="491">
        <v>920000</v>
      </c>
      <c r="D24" s="491">
        <f>SUM(D25:D27)</f>
        <v>1545000</v>
      </c>
      <c r="E24" s="491">
        <f>SUM(E25:E27)</f>
        <v>1545000</v>
      </c>
      <c r="F24" s="491">
        <f aca="true" t="shared" si="4" ref="F24:M24">SUM(F25:F27)</f>
        <v>2850000</v>
      </c>
      <c r="G24" s="491">
        <f t="shared" si="4"/>
        <v>2600000</v>
      </c>
      <c r="H24" s="491">
        <f t="shared" si="4"/>
        <v>2600000</v>
      </c>
      <c r="I24" s="491">
        <f t="shared" si="4"/>
        <v>1625000</v>
      </c>
      <c r="J24" s="491">
        <f t="shared" si="4"/>
        <v>1625000</v>
      </c>
      <c r="K24" s="491">
        <f t="shared" si="4"/>
        <v>1625000</v>
      </c>
      <c r="L24" s="491">
        <f t="shared" si="4"/>
        <v>625000</v>
      </c>
      <c r="M24" s="492">
        <f t="shared" si="4"/>
        <v>625000</v>
      </c>
      <c r="N24" s="130"/>
    </row>
    <row r="25" spans="1:15" s="47" customFormat="1" ht="15" customHeight="1">
      <c r="A25" s="493" t="s">
        <v>154</v>
      </c>
      <c r="B25" s="494" t="s">
        <v>165</v>
      </c>
      <c r="C25" s="495">
        <v>920000</v>
      </c>
      <c r="D25" s="495">
        <v>920000</v>
      </c>
      <c r="E25" s="495">
        <v>920000</v>
      </c>
      <c r="F25" s="495">
        <f>600000+1000000</f>
        <v>1600000</v>
      </c>
      <c r="G25" s="495">
        <f>600000+1000000+1000000</f>
        <v>2600000</v>
      </c>
      <c r="H25" s="495">
        <f>600000+1000000+1000000</f>
        <v>2600000</v>
      </c>
      <c r="I25" s="495">
        <v>1000000</v>
      </c>
      <c r="J25" s="495">
        <v>1000000</v>
      </c>
      <c r="K25" s="495">
        <v>1000000</v>
      </c>
      <c r="L25" s="495"/>
      <c r="M25" s="513"/>
      <c r="N25" s="130"/>
      <c r="O25" s="260"/>
    </row>
    <row r="26" spans="1:14" s="47" customFormat="1" ht="15" customHeight="1">
      <c r="A26" s="493" t="s">
        <v>155</v>
      </c>
      <c r="B26" s="494" t="s">
        <v>167</v>
      </c>
      <c r="C26" s="495">
        <v>0</v>
      </c>
      <c r="D26" s="495">
        <v>625000</v>
      </c>
      <c r="E26" s="495">
        <v>625000</v>
      </c>
      <c r="F26" s="495">
        <v>1250000</v>
      </c>
      <c r="G26" s="495">
        <v>0</v>
      </c>
      <c r="H26" s="495">
        <v>0</v>
      </c>
      <c r="I26" s="495">
        <v>625000</v>
      </c>
      <c r="J26" s="495">
        <v>625000</v>
      </c>
      <c r="K26" s="495">
        <v>625000</v>
      </c>
      <c r="L26" s="495">
        <v>625000</v>
      </c>
      <c r="M26" s="513">
        <v>625000</v>
      </c>
      <c r="N26" s="130"/>
    </row>
    <row r="27" spans="1:14" s="47" customFormat="1" ht="15" customHeight="1">
      <c r="A27" s="498" t="s">
        <v>156</v>
      </c>
      <c r="B27" s="499" t="s">
        <v>166</v>
      </c>
      <c r="C27" s="500">
        <v>0</v>
      </c>
      <c r="D27" s="500">
        <v>0</v>
      </c>
      <c r="E27" s="500">
        <v>0</v>
      </c>
      <c r="F27" s="500">
        <v>0</v>
      </c>
      <c r="G27" s="500">
        <v>0</v>
      </c>
      <c r="H27" s="500">
        <v>0</v>
      </c>
      <c r="I27" s="500">
        <v>0</v>
      </c>
      <c r="J27" s="506">
        <v>0</v>
      </c>
      <c r="K27" s="506"/>
      <c r="L27" s="506"/>
      <c r="M27" s="507"/>
      <c r="N27" s="130"/>
    </row>
    <row r="28" spans="1:14" s="47" customFormat="1" ht="15" customHeight="1">
      <c r="A28" s="476" t="s">
        <v>97</v>
      </c>
      <c r="B28" s="484" t="s">
        <v>164</v>
      </c>
      <c r="C28" s="485">
        <v>0</v>
      </c>
      <c r="D28" s="485">
        <v>0</v>
      </c>
      <c r="E28" s="485">
        <v>0</v>
      </c>
      <c r="F28" s="485">
        <v>0</v>
      </c>
      <c r="G28" s="485">
        <v>0</v>
      </c>
      <c r="H28" s="485">
        <v>0</v>
      </c>
      <c r="I28" s="485">
        <v>0</v>
      </c>
      <c r="J28" s="485">
        <v>0</v>
      </c>
      <c r="K28" s="485"/>
      <c r="L28" s="485">
        <v>0</v>
      </c>
      <c r="M28" s="486">
        <v>0</v>
      </c>
      <c r="N28" s="130"/>
    </row>
    <row r="29" spans="1:14" s="70" customFormat="1" ht="14.25" customHeight="1" thickBot="1">
      <c r="A29" s="524" t="s">
        <v>153</v>
      </c>
      <c r="B29" s="525" t="s">
        <v>163</v>
      </c>
      <c r="C29" s="526">
        <v>348400</v>
      </c>
      <c r="D29" s="526">
        <v>397600</v>
      </c>
      <c r="E29" s="526">
        <v>397600</v>
      </c>
      <c r="F29" s="526">
        <f>254000+132000+81000+250000</f>
        <v>717000</v>
      </c>
      <c r="G29" s="526">
        <f>206000+82000+250000</f>
        <v>538000</v>
      </c>
      <c r="H29" s="526">
        <f>188000+30000+200000</f>
        <v>418000</v>
      </c>
      <c r="I29" s="526">
        <f>125000+150000</f>
        <v>275000</v>
      </c>
      <c r="J29" s="526">
        <f>95000+100000</f>
        <v>195000</v>
      </c>
      <c r="K29" s="526">
        <f>65000+50000</f>
        <v>115000</v>
      </c>
      <c r="L29" s="526">
        <v>33000</v>
      </c>
      <c r="M29" s="527">
        <v>15000</v>
      </c>
      <c r="N29" s="130"/>
    </row>
    <row r="30" spans="1:14" s="48" customFormat="1" ht="22.5" customHeight="1" thickBot="1">
      <c r="A30" s="528" t="s">
        <v>14</v>
      </c>
      <c r="B30" s="529" t="s">
        <v>108</v>
      </c>
      <c r="C30" s="530">
        <v>39829150</v>
      </c>
      <c r="D30" s="531">
        <v>47975807</v>
      </c>
      <c r="E30" s="531">
        <v>47350287</v>
      </c>
      <c r="F30" s="531">
        <v>51717576</v>
      </c>
      <c r="G30" s="531">
        <v>49570130</v>
      </c>
      <c r="H30" s="531">
        <v>49318230</v>
      </c>
      <c r="I30" s="531">
        <v>48691780</v>
      </c>
      <c r="J30" s="531">
        <v>49091530</v>
      </c>
      <c r="K30" s="531">
        <v>49518280</v>
      </c>
      <c r="L30" s="531">
        <v>49972830</v>
      </c>
      <c r="M30" s="532">
        <v>50956010</v>
      </c>
      <c r="N30" s="133"/>
    </row>
    <row r="31" spans="1:14" s="63" customFormat="1" ht="16.5" thickBot="1">
      <c r="A31" s="533" t="s">
        <v>1</v>
      </c>
      <c r="B31" s="534" t="s">
        <v>584</v>
      </c>
      <c r="C31" s="535">
        <v>39282887</v>
      </c>
      <c r="D31" s="536">
        <v>55145241</v>
      </c>
      <c r="E31" s="536">
        <v>54481132</v>
      </c>
      <c r="F31" s="536">
        <f>53867576</f>
        <v>53867576</v>
      </c>
      <c r="G31" s="536">
        <f>49570130-2600000</f>
        <v>46970130</v>
      </c>
      <c r="H31" s="536">
        <f>49318230-2600000</f>
        <v>46718230</v>
      </c>
      <c r="I31" s="536">
        <f>53867576-6800796</f>
        <v>47066780</v>
      </c>
      <c r="J31" s="536">
        <f>53867576-6401046</f>
        <v>47466530</v>
      </c>
      <c r="K31" s="536">
        <f>53867576-5974296</f>
        <v>47893280</v>
      </c>
      <c r="L31" s="536">
        <f>53867576-4519746</f>
        <v>49347830</v>
      </c>
      <c r="M31" s="537">
        <f>53867576-3536566</f>
        <v>50331010</v>
      </c>
      <c r="N31" s="133"/>
    </row>
    <row r="32" spans="1:14" s="63" customFormat="1" ht="22.5" customHeight="1" thickBot="1">
      <c r="A32" s="528" t="s">
        <v>19</v>
      </c>
      <c r="B32" s="529" t="s">
        <v>128</v>
      </c>
      <c r="C32" s="530">
        <f>+C30-C31</f>
        <v>546263</v>
      </c>
      <c r="D32" s="531">
        <f aca="true" t="shared" si="5" ref="D32:M32">+D30-D31</f>
        <v>-7169434</v>
      </c>
      <c r="E32" s="531">
        <f t="shared" si="5"/>
        <v>-7130845</v>
      </c>
      <c r="F32" s="531">
        <f t="shared" si="5"/>
        <v>-2150000</v>
      </c>
      <c r="G32" s="531">
        <f t="shared" si="5"/>
        <v>2600000</v>
      </c>
      <c r="H32" s="531">
        <f t="shared" si="5"/>
        <v>2600000</v>
      </c>
      <c r="I32" s="531">
        <f t="shared" si="5"/>
        <v>1625000</v>
      </c>
      <c r="J32" s="531">
        <f t="shared" si="5"/>
        <v>1625000</v>
      </c>
      <c r="K32" s="531">
        <f t="shared" si="5"/>
        <v>1625000</v>
      </c>
      <c r="L32" s="531">
        <f t="shared" si="5"/>
        <v>625000</v>
      </c>
      <c r="M32" s="532">
        <f t="shared" si="5"/>
        <v>625000</v>
      </c>
      <c r="N32" s="133"/>
    </row>
    <row r="33" spans="1:14" s="48" customFormat="1" ht="22.5" customHeight="1">
      <c r="A33" s="514" t="s">
        <v>22</v>
      </c>
      <c r="B33" s="515" t="s">
        <v>109</v>
      </c>
      <c r="C33" s="538"/>
      <c r="D33" s="538"/>
      <c r="E33" s="538"/>
      <c r="F33" s="538"/>
      <c r="G33" s="538"/>
      <c r="H33" s="538"/>
      <c r="I33" s="538"/>
      <c r="J33" s="539"/>
      <c r="K33" s="539"/>
      <c r="L33" s="539"/>
      <c r="M33" s="540"/>
      <c r="N33" s="134"/>
    </row>
    <row r="34" spans="1:14" s="47" customFormat="1" ht="16.5" customHeight="1">
      <c r="A34" s="476" t="s">
        <v>168</v>
      </c>
      <c r="B34" s="140" t="s">
        <v>464</v>
      </c>
      <c r="C34" s="485">
        <f>+C10/C30*100</f>
        <v>9.967574000449419</v>
      </c>
      <c r="D34" s="485">
        <f>+D10/D30*100</f>
        <v>19.124222339813898</v>
      </c>
      <c r="E34" s="485">
        <f>+E10/E30*100</f>
        <v>19.376862488710998</v>
      </c>
      <c r="F34" s="485">
        <f aca="true" t="shared" si="6" ref="F34:M34">+F10/F30*100</f>
        <v>21.89777803971323</v>
      </c>
      <c r="G34" s="485">
        <f t="shared" si="6"/>
        <v>17.601325637031817</v>
      </c>
      <c r="H34" s="485">
        <f t="shared" si="6"/>
        <v>12.419342705526942</v>
      </c>
      <c r="I34" s="485">
        <f t="shared" si="6"/>
        <v>9.241806317205901</v>
      </c>
      <c r="J34" s="485">
        <f t="shared" si="6"/>
        <v>5.856407408772959</v>
      </c>
      <c r="K34" s="485">
        <f t="shared" si="6"/>
        <v>2.524320311610177</v>
      </c>
      <c r="L34" s="485">
        <f t="shared" si="6"/>
        <v>1.2506796193051304</v>
      </c>
      <c r="M34" s="486">
        <f t="shared" si="6"/>
        <v>0</v>
      </c>
      <c r="N34" s="135"/>
    </row>
    <row r="35" spans="1:14" s="47" customFormat="1" ht="30.75">
      <c r="A35" s="476" t="s">
        <v>169</v>
      </c>
      <c r="B35" s="140" t="s">
        <v>609</v>
      </c>
      <c r="C35" s="141"/>
      <c r="D35" s="141"/>
      <c r="E35" s="141"/>
      <c r="F35" s="141"/>
      <c r="G35" s="141"/>
      <c r="H35" s="141"/>
      <c r="I35" s="141"/>
      <c r="J35" s="142"/>
      <c r="K35" s="142"/>
      <c r="L35" s="142"/>
      <c r="M35" s="477"/>
      <c r="N35" s="136"/>
    </row>
    <row r="36" spans="1:14" s="47" customFormat="1" ht="30" customHeight="1">
      <c r="A36" s="476" t="s">
        <v>170</v>
      </c>
      <c r="B36" s="140" t="s">
        <v>465</v>
      </c>
      <c r="C36" s="471">
        <f>+C23/C30*100</f>
        <v>3.184602232284646</v>
      </c>
      <c r="D36" s="487">
        <f>+D23/D30*100</f>
        <v>4.04912417627493</v>
      </c>
      <c r="E36" s="487">
        <f aca="true" t="shared" si="7" ref="E36:M36">+E23/E30*100</f>
        <v>4.102615048563487</v>
      </c>
      <c r="F36" s="487">
        <f t="shared" si="7"/>
        <v>6.897074990521597</v>
      </c>
      <c r="G36" s="487">
        <f t="shared" si="7"/>
        <v>6.330425197593794</v>
      </c>
      <c r="H36" s="487">
        <f t="shared" si="7"/>
        <v>6.1194410261682135</v>
      </c>
      <c r="I36" s="487">
        <f t="shared" si="7"/>
        <v>3.902096000598047</v>
      </c>
      <c r="J36" s="487">
        <f t="shared" si="7"/>
        <v>3.7073605161623604</v>
      </c>
      <c r="K36" s="487">
        <f t="shared" si="7"/>
        <v>3.513853873761367</v>
      </c>
      <c r="L36" s="487">
        <f t="shared" si="7"/>
        <v>1.3167155032044413</v>
      </c>
      <c r="M36" s="488">
        <f t="shared" si="7"/>
        <v>1.2559853096818216</v>
      </c>
      <c r="N36" s="136"/>
    </row>
    <row r="37" spans="1:14" s="47" customFormat="1" ht="28.5" customHeight="1" thickBot="1">
      <c r="A37" s="478" t="s">
        <v>171</v>
      </c>
      <c r="B37" s="479" t="s">
        <v>450</v>
      </c>
      <c r="C37" s="480"/>
      <c r="D37" s="480"/>
      <c r="E37" s="480"/>
      <c r="F37" s="480"/>
      <c r="G37" s="480"/>
      <c r="H37" s="480"/>
      <c r="I37" s="480"/>
      <c r="J37" s="480"/>
      <c r="K37" s="480"/>
      <c r="L37" s="480"/>
      <c r="M37" s="481"/>
      <c r="N37" s="136"/>
    </row>
    <row r="39" spans="3:13" ht="12.75">
      <c r="C39" s="263">
        <f>+C30+C15-C31-C24</f>
        <v>-373737</v>
      </c>
      <c r="D39" s="263">
        <f>+D30+D15-D31-D24-D29</f>
        <v>-9112034</v>
      </c>
      <c r="E39" s="263">
        <f>+E30+E15-E31-E24-E29</f>
        <v>-2323445</v>
      </c>
      <c r="F39" s="263">
        <f aca="true" t="shared" si="8" ref="F39:M39">+F30+F15-F31-F24</f>
        <v>0</v>
      </c>
      <c r="G39" s="263">
        <f t="shared" si="8"/>
        <v>0</v>
      </c>
      <c r="H39" s="263">
        <f t="shared" si="8"/>
        <v>0</v>
      </c>
      <c r="I39" s="263">
        <f t="shared" si="8"/>
        <v>0</v>
      </c>
      <c r="J39" s="263">
        <f t="shared" si="8"/>
        <v>0</v>
      </c>
      <c r="K39" s="263">
        <f t="shared" si="8"/>
        <v>0</v>
      </c>
      <c r="L39" s="263">
        <f t="shared" si="8"/>
        <v>0</v>
      </c>
      <c r="M39" s="263">
        <f t="shared" si="8"/>
        <v>0</v>
      </c>
    </row>
    <row r="41" spans="4:13" ht="12.75">
      <c r="D41" s="262">
        <f>+D31+D29</f>
        <v>55542841</v>
      </c>
      <c r="E41" s="262">
        <f aca="true" t="shared" si="9" ref="E41:M41">+E31+E29</f>
        <v>54878732</v>
      </c>
      <c r="F41" s="262">
        <f t="shared" si="9"/>
        <v>54584576</v>
      </c>
      <c r="G41" s="262">
        <f t="shared" si="9"/>
        <v>47508130</v>
      </c>
      <c r="H41" s="262">
        <f t="shared" si="9"/>
        <v>47136230</v>
      </c>
      <c r="I41" s="262">
        <f t="shared" si="9"/>
        <v>47341780</v>
      </c>
      <c r="J41" s="262">
        <f t="shared" si="9"/>
        <v>47661530</v>
      </c>
      <c r="K41" s="262">
        <f t="shared" si="9"/>
        <v>48008280</v>
      </c>
      <c r="L41" s="262">
        <f t="shared" si="9"/>
        <v>49380830</v>
      </c>
      <c r="M41" s="262">
        <f t="shared" si="9"/>
        <v>50346010</v>
      </c>
    </row>
    <row r="42" spans="3:5" ht="12.75">
      <c r="C42" s="261">
        <f>+C30-C31</f>
        <v>546263</v>
      </c>
      <c r="E42" s="262">
        <v>55028732</v>
      </c>
    </row>
    <row r="43" ht="12.75">
      <c r="E43" s="262">
        <f>+E31+E29</f>
        <v>54878732</v>
      </c>
    </row>
    <row r="44" spans="4:5" ht="12.75">
      <c r="D44" s="262">
        <v>55028732</v>
      </c>
      <c r="E44" s="262">
        <v>54878732</v>
      </c>
    </row>
    <row r="45" spans="4:5" ht="12.75">
      <c r="D45" s="262">
        <f>+D31+D29</f>
        <v>55542841</v>
      </c>
      <c r="E45" s="262">
        <f>+E44-E29</f>
        <v>54481132</v>
      </c>
    </row>
    <row r="46" spans="4:5" ht="12.75">
      <c r="D46" s="262">
        <v>54878732</v>
      </c>
      <c r="E46" s="262"/>
    </row>
    <row r="47" spans="4:5" ht="12.75">
      <c r="D47" s="262">
        <f>+D46-D29</f>
        <v>54481132</v>
      </c>
      <c r="E47" s="262"/>
    </row>
    <row r="48" ht="12.75">
      <c r="E48" s="262"/>
    </row>
    <row r="49" ht="12.75">
      <c r="E49" s="262"/>
    </row>
  </sheetData>
  <mergeCells count="6">
    <mergeCell ref="A6:J6"/>
    <mergeCell ref="A8:A9"/>
    <mergeCell ref="B8:B9"/>
    <mergeCell ref="C8:C9"/>
    <mergeCell ref="F8:M8"/>
    <mergeCell ref="D8:D9"/>
  </mergeCells>
  <printOptions horizontalCentered="1" verticalCentered="1"/>
  <pageMargins left="0.19" right="0.2" top="0.19" bottom="0.3" header="0.17" footer="0.16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1"/>
  <sheetViews>
    <sheetView view="pageBreakPreview" zoomScaleSheetLayoutView="100" workbookViewId="0" topLeftCell="C135">
      <selection activeCell="K149" sqref="K149"/>
    </sheetView>
  </sheetViews>
  <sheetFormatPr defaultColWidth="9.00390625" defaultRowHeight="12.75"/>
  <cols>
    <col min="1" max="1" width="5.625" style="1" customWidth="1"/>
    <col min="2" max="2" width="8.625" style="1" customWidth="1"/>
    <col min="3" max="3" width="41.25390625" style="1" customWidth="1"/>
    <col min="4" max="4" width="13.75390625" style="1" hidden="1" customWidth="1"/>
    <col min="5" max="5" width="13.25390625" style="1" customWidth="1"/>
    <col min="6" max="6" width="10.125" style="1" hidden="1" customWidth="1"/>
    <col min="7" max="7" width="13.875" style="1" customWidth="1"/>
    <col min="8" max="8" width="12.375" style="1" customWidth="1"/>
    <col min="9" max="9" width="14.375" style="1" customWidth="1"/>
    <col min="10" max="10" width="12.00390625" style="1" customWidth="1"/>
    <col min="11" max="11" width="14.00390625" style="1" customWidth="1"/>
    <col min="12" max="12" width="13.00390625" style="1" customWidth="1"/>
    <col min="13" max="13" width="10.875" style="0" customWidth="1"/>
    <col min="14" max="14" width="12.75390625" style="0" customWidth="1"/>
  </cols>
  <sheetData>
    <row r="1" ht="12.75">
      <c r="J1" t="s">
        <v>611</v>
      </c>
    </row>
    <row r="2" ht="12.75">
      <c r="J2" t="s">
        <v>710</v>
      </c>
    </row>
    <row r="3" ht="12.75">
      <c r="J3" t="s">
        <v>196</v>
      </c>
    </row>
    <row r="4" spans="1:12" ht="12.75" customHeight="1">
      <c r="A4" s="5"/>
      <c r="B4" s="5"/>
      <c r="C4" s="5"/>
      <c r="D4" s="5"/>
      <c r="E4" s="5"/>
      <c r="F4" s="5"/>
      <c r="G4" s="5"/>
      <c r="H4" s="5"/>
      <c r="I4" s="5"/>
      <c r="J4" t="s">
        <v>709</v>
      </c>
      <c r="K4" s="324"/>
      <c r="L4" s="324"/>
    </row>
    <row r="5" spans="1:12" ht="18">
      <c r="A5" s="680" t="s">
        <v>503</v>
      </c>
      <c r="B5" s="680"/>
      <c r="C5" s="680"/>
      <c r="D5" s="680"/>
      <c r="E5" s="680"/>
      <c r="F5" s="680"/>
      <c r="G5" s="680"/>
      <c r="H5" s="680"/>
      <c r="I5" s="680"/>
      <c r="J5" s="179"/>
      <c r="K5" s="324"/>
      <c r="L5" s="324"/>
    </row>
    <row r="6" spans="1:12" ht="12.75">
      <c r="A6" s="85"/>
      <c r="B6" s="85"/>
      <c r="C6" s="85"/>
      <c r="D6" s="85"/>
      <c r="E6" s="85"/>
      <c r="F6" s="85"/>
      <c r="G6" s="85"/>
      <c r="H6" s="86"/>
      <c r="I6" s="87"/>
      <c r="J6" s="87"/>
      <c r="K6" s="87"/>
      <c r="L6" s="88" t="s">
        <v>59</v>
      </c>
    </row>
    <row r="7" spans="1:12" s="47" customFormat="1" ht="12.75">
      <c r="A7" s="681" t="s">
        <v>2</v>
      </c>
      <c r="B7" s="678" t="s">
        <v>3</v>
      </c>
      <c r="C7" s="682" t="s">
        <v>18</v>
      </c>
      <c r="D7" s="678" t="s">
        <v>504</v>
      </c>
      <c r="E7" s="678" t="s">
        <v>603</v>
      </c>
      <c r="F7" s="222" t="s">
        <v>536</v>
      </c>
      <c r="G7" s="678" t="s">
        <v>81</v>
      </c>
      <c r="H7" s="678"/>
      <c r="I7" s="678"/>
      <c r="J7" s="678"/>
      <c r="K7" s="678"/>
      <c r="L7" s="678"/>
    </row>
    <row r="8" spans="1:12" s="47" customFormat="1" ht="12.75">
      <c r="A8" s="678"/>
      <c r="B8" s="678"/>
      <c r="C8" s="682"/>
      <c r="D8" s="678"/>
      <c r="E8" s="678"/>
      <c r="F8" s="221" t="s">
        <v>538</v>
      </c>
      <c r="G8" s="678" t="s">
        <v>38</v>
      </c>
      <c r="H8" s="678" t="s">
        <v>6</v>
      </c>
      <c r="I8" s="678"/>
      <c r="J8" s="678"/>
      <c r="K8" s="678"/>
      <c r="L8" s="678" t="s">
        <v>41</v>
      </c>
    </row>
    <row r="9" spans="1:12" s="47" customFormat="1" ht="25.5">
      <c r="A9" s="678"/>
      <c r="B9" s="678"/>
      <c r="C9" s="682"/>
      <c r="D9" s="678"/>
      <c r="E9" s="678"/>
      <c r="F9" s="220" t="s">
        <v>537</v>
      </c>
      <c r="G9" s="678"/>
      <c r="H9" s="53" t="s">
        <v>100</v>
      </c>
      <c r="I9" s="53" t="s">
        <v>414</v>
      </c>
      <c r="J9" s="53" t="s">
        <v>99</v>
      </c>
      <c r="K9" s="53" t="s">
        <v>132</v>
      </c>
      <c r="L9" s="678"/>
    </row>
    <row r="10" spans="1:12" s="47" customFormat="1" ht="12.75">
      <c r="A10" s="231">
        <v>1</v>
      </c>
      <c r="B10" s="231">
        <v>2</v>
      </c>
      <c r="C10" s="231">
        <v>3</v>
      </c>
      <c r="D10" s="231">
        <v>4</v>
      </c>
      <c r="E10" s="231">
        <v>4</v>
      </c>
      <c r="F10" s="231">
        <v>6</v>
      </c>
      <c r="G10" s="231">
        <v>5</v>
      </c>
      <c r="H10" s="231">
        <v>6</v>
      </c>
      <c r="I10" s="231">
        <v>7</v>
      </c>
      <c r="J10" s="231">
        <v>8</v>
      </c>
      <c r="K10" s="231">
        <v>9</v>
      </c>
      <c r="L10" s="231">
        <v>10</v>
      </c>
    </row>
    <row r="11" spans="1:12" s="47" customFormat="1" ht="15.75">
      <c r="A11" s="358" t="s">
        <v>502</v>
      </c>
      <c r="B11" s="359"/>
      <c r="C11" s="360" t="s">
        <v>252</v>
      </c>
      <c r="D11" s="360">
        <f>+D12+D14</f>
        <v>35000</v>
      </c>
      <c r="E11" s="362">
        <f>+G11+L11</f>
        <v>40000</v>
      </c>
      <c r="F11" s="594">
        <f>+E11/D11*100</f>
        <v>114.28571428571428</v>
      </c>
      <c r="G11" s="362">
        <f>+G12+G14</f>
        <v>40000</v>
      </c>
      <c r="H11" s="362">
        <f>+H12+H14</f>
        <v>0</v>
      </c>
      <c r="I11" s="362">
        <f>+I12+I14</f>
        <v>0</v>
      </c>
      <c r="J11" s="362">
        <f>+J12+J14</f>
        <v>0</v>
      </c>
      <c r="K11" s="362">
        <f>+K12+K14</f>
        <v>0</v>
      </c>
      <c r="L11" s="362">
        <v>0</v>
      </c>
    </row>
    <row r="12" spans="1:12" s="47" customFormat="1" ht="12.75">
      <c r="A12" s="180"/>
      <c r="B12" s="270" t="s">
        <v>255</v>
      </c>
      <c r="C12" s="363" t="s">
        <v>253</v>
      </c>
      <c r="D12" s="187">
        <v>25000</v>
      </c>
      <c r="E12" s="190">
        <f aca="true" t="shared" si="0" ref="E12:E83">+G12+L12</f>
        <v>25000</v>
      </c>
      <c r="F12" s="595">
        <f aca="true" t="shared" si="1" ref="F12:F74">+E12/D12*100</f>
        <v>100</v>
      </c>
      <c r="G12" s="190">
        <f>+G13</f>
        <v>25000</v>
      </c>
      <c r="H12" s="190"/>
      <c r="I12" s="190"/>
      <c r="J12" s="190"/>
      <c r="K12" s="190">
        <f>+K13</f>
        <v>0</v>
      </c>
      <c r="L12" s="190"/>
    </row>
    <row r="13" spans="1:12" s="47" customFormat="1" ht="12.75">
      <c r="A13" s="180"/>
      <c r="B13" s="267"/>
      <c r="C13" s="364" t="s">
        <v>254</v>
      </c>
      <c r="D13" s="186">
        <v>25000</v>
      </c>
      <c r="E13" s="188">
        <f t="shared" si="0"/>
        <v>25000</v>
      </c>
      <c r="F13" s="596">
        <f t="shared" si="1"/>
        <v>100</v>
      </c>
      <c r="G13" s="188">
        <v>25000</v>
      </c>
      <c r="H13" s="188" t="s">
        <v>25</v>
      </c>
      <c r="I13" s="188" t="s">
        <v>25</v>
      </c>
      <c r="J13" s="188" t="s">
        <v>25</v>
      </c>
      <c r="K13" s="188"/>
      <c r="L13" s="365"/>
    </row>
    <row r="14" spans="1:12" s="47" customFormat="1" ht="12.75">
      <c r="A14" s="180"/>
      <c r="B14" s="208" t="s">
        <v>256</v>
      </c>
      <c r="C14" s="187" t="s">
        <v>257</v>
      </c>
      <c r="D14" s="187">
        <v>10000</v>
      </c>
      <c r="E14" s="190">
        <f t="shared" si="0"/>
        <v>15000</v>
      </c>
      <c r="F14" s="595">
        <f t="shared" si="1"/>
        <v>150</v>
      </c>
      <c r="G14" s="190">
        <f>+G15</f>
        <v>15000</v>
      </c>
      <c r="H14" s="190"/>
      <c r="I14" s="190"/>
      <c r="J14" s="190"/>
      <c r="K14" s="190">
        <f>+K15</f>
        <v>0</v>
      </c>
      <c r="L14" s="365"/>
    </row>
    <row r="15" spans="1:12" s="47" customFormat="1" ht="12.75">
      <c r="A15" s="266"/>
      <c r="B15" s="218"/>
      <c r="C15" s="186" t="s">
        <v>258</v>
      </c>
      <c r="D15" s="186">
        <v>10000</v>
      </c>
      <c r="E15" s="188">
        <f t="shared" si="0"/>
        <v>15000</v>
      </c>
      <c r="F15" s="596">
        <f t="shared" si="1"/>
        <v>150</v>
      </c>
      <c r="G15" s="188">
        <v>15000</v>
      </c>
      <c r="H15" s="188" t="s">
        <v>25</v>
      </c>
      <c r="I15" s="188" t="s">
        <v>25</v>
      </c>
      <c r="J15" s="188" t="s">
        <v>25</v>
      </c>
      <c r="K15" s="188"/>
      <c r="L15" s="365"/>
    </row>
    <row r="16" spans="1:12" s="47" customFormat="1" ht="15.75">
      <c r="A16" s="361">
        <v>600</v>
      </c>
      <c r="B16" s="359"/>
      <c r="C16" s="360" t="s">
        <v>259</v>
      </c>
      <c r="D16" s="360">
        <f>+D17+D19+D23</f>
        <v>5631484</v>
      </c>
      <c r="E16" s="366">
        <v>7783000</v>
      </c>
      <c r="F16" s="594">
        <f t="shared" si="1"/>
        <v>138.20513385104175</v>
      </c>
      <c r="G16" s="362">
        <v>2493000</v>
      </c>
      <c r="H16" s="362">
        <f>+H17+H19+H23</f>
        <v>0</v>
      </c>
      <c r="I16" s="362">
        <f>+I17+I19+I23</f>
        <v>0</v>
      </c>
      <c r="J16" s="362">
        <f>+J17+J19+J23</f>
        <v>220000</v>
      </c>
      <c r="K16" s="362"/>
      <c r="L16" s="362">
        <f>+L23</f>
        <v>5290000</v>
      </c>
    </row>
    <row r="17" spans="1:12" s="47" customFormat="1" ht="12.75">
      <c r="A17" s="180"/>
      <c r="B17" s="208">
        <v>60004</v>
      </c>
      <c r="C17" s="187" t="s">
        <v>261</v>
      </c>
      <c r="D17" s="187">
        <v>410000</v>
      </c>
      <c r="E17" s="190">
        <f t="shared" si="0"/>
        <v>673000</v>
      </c>
      <c r="F17" s="595">
        <f t="shared" si="1"/>
        <v>164.14634146341461</v>
      </c>
      <c r="G17" s="190">
        <f>+G18</f>
        <v>673000</v>
      </c>
      <c r="H17" s="190"/>
      <c r="I17" s="190"/>
      <c r="J17" s="190"/>
      <c r="K17" s="190"/>
      <c r="L17" s="190"/>
    </row>
    <row r="18" spans="1:12" s="47" customFormat="1" ht="12.75">
      <c r="A18" s="180"/>
      <c r="B18" s="280"/>
      <c r="C18" s="186" t="s">
        <v>260</v>
      </c>
      <c r="D18" s="186">
        <v>410000</v>
      </c>
      <c r="E18" s="188">
        <f t="shared" si="0"/>
        <v>673000</v>
      </c>
      <c r="F18" s="596">
        <f t="shared" si="1"/>
        <v>164.14634146341461</v>
      </c>
      <c r="G18" s="188">
        <v>673000</v>
      </c>
      <c r="H18" s="188"/>
      <c r="I18" s="188"/>
      <c r="J18" s="188"/>
      <c r="K18" s="188"/>
      <c r="L18" s="188"/>
    </row>
    <row r="19" spans="1:12" s="47" customFormat="1" ht="12.75">
      <c r="A19" s="181"/>
      <c r="B19" s="208">
        <v>60014</v>
      </c>
      <c r="C19" s="187" t="s">
        <v>454</v>
      </c>
      <c r="D19" s="187">
        <f>+D20+D21+D22</f>
        <v>246984</v>
      </c>
      <c r="E19" s="190">
        <v>220000</v>
      </c>
      <c r="F19" s="595">
        <f t="shared" si="1"/>
        <v>89.07459592524212</v>
      </c>
      <c r="G19" s="190">
        <v>220000</v>
      </c>
      <c r="H19" s="190">
        <f>SUM(H20:H22)</f>
        <v>0</v>
      </c>
      <c r="I19" s="190">
        <f>SUM(I20:I22)</f>
        <v>0</v>
      </c>
      <c r="J19" s="190">
        <v>220000</v>
      </c>
      <c r="K19" s="190"/>
      <c r="L19" s="190" t="s">
        <v>25</v>
      </c>
    </row>
    <row r="20" spans="1:12" s="47" customFormat="1" ht="25.5">
      <c r="A20" s="180"/>
      <c r="B20" s="281"/>
      <c r="C20" s="186" t="s">
        <v>455</v>
      </c>
      <c r="D20" s="186">
        <v>181984</v>
      </c>
      <c r="E20" s="188">
        <f t="shared" si="0"/>
        <v>0</v>
      </c>
      <c r="F20" s="596">
        <f t="shared" si="1"/>
        <v>0</v>
      </c>
      <c r="G20" s="188"/>
      <c r="H20" s="188"/>
      <c r="I20" s="188"/>
      <c r="J20" s="188"/>
      <c r="K20" s="188"/>
      <c r="L20" s="188"/>
    </row>
    <row r="21" spans="1:12" s="47" customFormat="1" ht="12.75">
      <c r="A21" s="180"/>
      <c r="B21" s="281"/>
      <c r="C21" s="186" t="s">
        <v>534</v>
      </c>
      <c r="D21" s="186"/>
      <c r="E21" s="188">
        <v>220000</v>
      </c>
      <c r="F21" s="596"/>
      <c r="G21" s="188">
        <v>220000</v>
      </c>
      <c r="H21" s="188"/>
      <c r="I21" s="188"/>
      <c r="J21" s="188">
        <v>220000</v>
      </c>
      <c r="K21" s="188"/>
      <c r="L21" s="188" t="s">
        <v>25</v>
      </c>
    </row>
    <row r="22" spans="1:12" s="47" customFormat="1" ht="12.75">
      <c r="A22" s="180"/>
      <c r="B22" s="280"/>
      <c r="C22" s="186" t="s">
        <v>535</v>
      </c>
      <c r="D22" s="186">
        <v>65000</v>
      </c>
      <c r="E22" s="188">
        <f t="shared" si="0"/>
        <v>0</v>
      </c>
      <c r="F22" s="596">
        <f t="shared" si="1"/>
        <v>0</v>
      </c>
      <c r="G22" s="188"/>
      <c r="H22" s="188"/>
      <c r="I22" s="188"/>
      <c r="J22" s="188"/>
      <c r="K22" s="188"/>
      <c r="L22" s="188"/>
    </row>
    <row r="23" spans="1:12" s="47" customFormat="1" ht="12.75">
      <c r="A23" s="180"/>
      <c r="B23" s="208">
        <v>60016</v>
      </c>
      <c r="C23" s="187" t="s">
        <v>262</v>
      </c>
      <c r="D23" s="187">
        <f>SUM(D24:D29)</f>
        <v>4974500</v>
      </c>
      <c r="E23" s="190">
        <f t="shared" si="0"/>
        <v>6890000</v>
      </c>
      <c r="F23" s="595">
        <f t="shared" si="1"/>
        <v>138.50638255101015</v>
      </c>
      <c r="G23" s="190">
        <f>SUM(G24:G28)</f>
        <v>1600000</v>
      </c>
      <c r="H23" s="190"/>
      <c r="I23" s="190"/>
      <c r="J23" s="190"/>
      <c r="K23" s="190"/>
      <c r="L23" s="190">
        <f>+L29</f>
        <v>5290000</v>
      </c>
    </row>
    <row r="24" spans="1:12" s="47" customFormat="1" ht="12.75">
      <c r="A24" s="180"/>
      <c r="B24" s="281"/>
      <c r="C24" s="186" t="s">
        <v>264</v>
      </c>
      <c r="D24" s="186">
        <v>1104500</v>
      </c>
      <c r="E24" s="188">
        <f t="shared" si="0"/>
        <v>250000</v>
      </c>
      <c r="F24" s="596">
        <f t="shared" si="1"/>
        <v>22.634676324128563</v>
      </c>
      <c r="G24" s="188">
        <v>250000</v>
      </c>
      <c r="H24" s="188"/>
      <c r="I24" s="188"/>
      <c r="J24" s="188"/>
      <c r="K24" s="188"/>
      <c r="L24" s="188"/>
    </row>
    <row r="25" spans="1:12" s="47" customFormat="1" ht="12.75">
      <c r="A25" s="269"/>
      <c r="B25" s="282"/>
      <c r="C25" s="188" t="s">
        <v>265</v>
      </c>
      <c r="D25" s="188">
        <v>200000</v>
      </c>
      <c r="E25" s="188">
        <f t="shared" si="0"/>
        <v>400000</v>
      </c>
      <c r="F25" s="596">
        <f t="shared" si="1"/>
        <v>200</v>
      </c>
      <c r="G25" s="188">
        <v>400000</v>
      </c>
      <c r="H25" s="188"/>
      <c r="I25" s="188"/>
      <c r="J25" s="188"/>
      <c r="K25" s="188"/>
      <c r="L25" s="188"/>
    </row>
    <row r="26" spans="1:12" s="47" customFormat="1" ht="12.75">
      <c r="A26" s="269"/>
      <c r="B26" s="282"/>
      <c r="C26" s="192" t="s">
        <v>266</v>
      </c>
      <c r="D26" s="192">
        <v>50000</v>
      </c>
      <c r="E26" s="192">
        <f t="shared" si="0"/>
        <v>100000</v>
      </c>
      <c r="F26" s="597">
        <f t="shared" si="1"/>
        <v>200</v>
      </c>
      <c r="G26" s="192">
        <v>100000</v>
      </c>
      <c r="H26" s="192"/>
      <c r="I26" s="192"/>
      <c r="J26" s="192"/>
      <c r="K26" s="192"/>
      <c r="L26" s="192"/>
    </row>
    <row r="27" spans="1:12" s="47" customFormat="1" ht="12.75">
      <c r="A27" s="269"/>
      <c r="B27" s="282"/>
      <c r="C27" s="188" t="s">
        <v>267</v>
      </c>
      <c r="D27" s="188">
        <v>120000</v>
      </c>
      <c r="E27" s="188">
        <f t="shared" si="0"/>
        <v>150000</v>
      </c>
      <c r="F27" s="596">
        <f t="shared" si="1"/>
        <v>125</v>
      </c>
      <c r="G27" s="188">
        <v>150000</v>
      </c>
      <c r="H27" s="188"/>
      <c r="I27" s="188"/>
      <c r="J27" s="188"/>
      <c r="K27" s="188"/>
      <c r="L27" s="188"/>
    </row>
    <row r="28" spans="1:12" s="47" customFormat="1" ht="12.75">
      <c r="A28" s="269"/>
      <c r="B28" s="282"/>
      <c r="C28" s="188" t="s">
        <v>506</v>
      </c>
      <c r="D28" s="188"/>
      <c r="E28" s="188">
        <f t="shared" si="0"/>
        <v>700000</v>
      </c>
      <c r="F28" s="596"/>
      <c r="G28" s="188">
        <v>700000</v>
      </c>
      <c r="H28" s="188"/>
      <c r="I28" s="188"/>
      <c r="J28" s="188"/>
      <c r="K28" s="188"/>
      <c r="L28" s="188"/>
    </row>
    <row r="29" spans="1:12" s="47" customFormat="1" ht="12.75">
      <c r="A29" s="269"/>
      <c r="B29" s="282"/>
      <c r="C29" s="190" t="s">
        <v>423</v>
      </c>
      <c r="D29" s="190">
        <f>SUM(D30:D41)</f>
        <v>3500000</v>
      </c>
      <c r="E29" s="190">
        <f t="shared" si="0"/>
        <v>5290000</v>
      </c>
      <c r="F29" s="595">
        <f t="shared" si="1"/>
        <v>151.14285714285714</v>
      </c>
      <c r="G29" s="190"/>
      <c r="H29" s="190"/>
      <c r="I29" s="190"/>
      <c r="J29" s="190"/>
      <c r="K29" s="190"/>
      <c r="L29" s="190">
        <f>SUM(L30:L41)</f>
        <v>5290000</v>
      </c>
    </row>
    <row r="30" spans="1:12" s="47" customFormat="1" ht="12.75">
      <c r="A30" s="269"/>
      <c r="B30" s="282"/>
      <c r="C30" s="191" t="s">
        <v>627</v>
      </c>
      <c r="D30" s="191">
        <v>1500000</v>
      </c>
      <c r="E30" s="191">
        <f t="shared" si="0"/>
        <v>0</v>
      </c>
      <c r="F30" s="598">
        <f t="shared" si="1"/>
        <v>0</v>
      </c>
      <c r="G30" s="191"/>
      <c r="H30" s="191"/>
      <c r="I30" s="191"/>
      <c r="J30" s="191"/>
      <c r="K30" s="191"/>
      <c r="L30" s="191"/>
    </row>
    <row r="31" spans="1:12" s="47" customFormat="1" ht="12.75">
      <c r="A31" s="269"/>
      <c r="B31" s="282"/>
      <c r="C31" s="191" t="s">
        <v>628</v>
      </c>
      <c r="D31" s="191">
        <v>150000</v>
      </c>
      <c r="E31" s="191">
        <f t="shared" si="0"/>
        <v>1000000</v>
      </c>
      <c r="F31" s="598">
        <f t="shared" si="1"/>
        <v>666.6666666666667</v>
      </c>
      <c r="G31" s="191"/>
      <c r="H31" s="191"/>
      <c r="I31" s="191"/>
      <c r="J31" s="191"/>
      <c r="K31" s="191"/>
      <c r="L31" s="191">
        <v>1000000</v>
      </c>
    </row>
    <row r="32" spans="1:12" s="47" customFormat="1" ht="12.75">
      <c r="A32" s="269"/>
      <c r="B32" s="282"/>
      <c r="C32" s="191" t="s">
        <v>629</v>
      </c>
      <c r="D32" s="191">
        <v>50000</v>
      </c>
      <c r="E32" s="191">
        <f t="shared" si="0"/>
        <v>1700000</v>
      </c>
      <c r="F32" s="598">
        <f t="shared" si="1"/>
        <v>3400</v>
      </c>
      <c r="G32" s="191"/>
      <c r="H32" s="191"/>
      <c r="I32" s="191"/>
      <c r="J32" s="191"/>
      <c r="K32" s="191"/>
      <c r="L32" s="191">
        <v>1700000</v>
      </c>
    </row>
    <row r="33" spans="1:12" s="47" customFormat="1" ht="25.5">
      <c r="A33" s="269"/>
      <c r="B33" s="282"/>
      <c r="C33" s="191" t="s">
        <v>677</v>
      </c>
      <c r="D33" s="191">
        <v>1000000</v>
      </c>
      <c r="E33" s="191">
        <f t="shared" si="0"/>
        <v>1000000</v>
      </c>
      <c r="F33" s="598">
        <f t="shared" si="1"/>
        <v>100</v>
      </c>
      <c r="G33" s="191"/>
      <c r="H33" s="191"/>
      <c r="I33" s="191"/>
      <c r="J33" s="191"/>
      <c r="K33" s="191"/>
      <c r="L33" s="191">
        <v>1000000</v>
      </c>
    </row>
    <row r="34" spans="1:12" s="47" customFormat="1" ht="12.75">
      <c r="A34" s="269"/>
      <c r="B34" s="282"/>
      <c r="C34" s="191" t="s">
        <v>676</v>
      </c>
      <c r="D34" s="191">
        <v>200000</v>
      </c>
      <c r="E34" s="191">
        <f t="shared" si="0"/>
        <v>1000000</v>
      </c>
      <c r="F34" s="598">
        <f t="shared" si="1"/>
        <v>500</v>
      </c>
      <c r="G34" s="191"/>
      <c r="H34" s="191"/>
      <c r="I34" s="191"/>
      <c r="J34" s="191"/>
      <c r="K34" s="191"/>
      <c r="L34" s="191">
        <v>1000000</v>
      </c>
    </row>
    <row r="35" spans="1:12" s="47" customFormat="1" ht="25.5">
      <c r="A35" s="269"/>
      <c r="B35" s="282"/>
      <c r="C35" s="191" t="s">
        <v>507</v>
      </c>
      <c r="D35" s="191"/>
      <c r="E35" s="191">
        <f t="shared" si="0"/>
        <v>0</v>
      </c>
      <c r="F35" s="598"/>
      <c r="G35" s="191"/>
      <c r="H35" s="191"/>
      <c r="I35" s="191"/>
      <c r="J35" s="191"/>
      <c r="K35" s="191"/>
      <c r="L35" s="191">
        <f>700000-700000</f>
        <v>0</v>
      </c>
    </row>
    <row r="36" spans="1:12" s="47" customFormat="1" ht="25.5">
      <c r="A36" s="269"/>
      <c r="B36" s="282"/>
      <c r="C36" s="191" t="s">
        <v>508</v>
      </c>
      <c r="D36" s="191"/>
      <c r="E36" s="191">
        <f t="shared" si="0"/>
        <v>400000</v>
      </c>
      <c r="F36" s="598"/>
      <c r="G36" s="191"/>
      <c r="H36" s="191"/>
      <c r="I36" s="191"/>
      <c r="J36" s="191"/>
      <c r="K36" s="191"/>
      <c r="L36" s="191">
        <v>400000</v>
      </c>
    </row>
    <row r="37" spans="1:12" s="47" customFormat="1" ht="25.5">
      <c r="A37" s="269"/>
      <c r="B37" s="282"/>
      <c r="C37" s="191" t="s">
        <v>509</v>
      </c>
      <c r="D37" s="191"/>
      <c r="E37" s="191">
        <f t="shared" si="0"/>
        <v>0</v>
      </c>
      <c r="F37" s="598"/>
      <c r="G37" s="191"/>
      <c r="H37" s="191"/>
      <c r="I37" s="191"/>
      <c r="J37" s="191"/>
      <c r="K37" s="191"/>
      <c r="L37" s="191">
        <f>400000-400000</f>
        <v>0</v>
      </c>
    </row>
    <row r="38" spans="1:12" s="47" customFormat="1" ht="12.75">
      <c r="A38" s="269"/>
      <c r="B38" s="282"/>
      <c r="C38" s="191" t="s">
        <v>678</v>
      </c>
      <c r="D38" s="191"/>
      <c r="E38" s="191">
        <f t="shared" si="0"/>
        <v>30000</v>
      </c>
      <c r="F38" s="598"/>
      <c r="G38" s="191"/>
      <c r="H38" s="191"/>
      <c r="I38" s="191"/>
      <c r="J38" s="191"/>
      <c r="K38" s="191"/>
      <c r="L38" s="191">
        <v>30000</v>
      </c>
    </row>
    <row r="39" spans="1:12" s="47" customFormat="1" ht="25.5">
      <c r="A39" s="269"/>
      <c r="B39" s="282"/>
      <c r="C39" s="191" t="s">
        <v>679</v>
      </c>
      <c r="D39" s="191"/>
      <c r="E39" s="191">
        <f t="shared" si="0"/>
        <v>100000</v>
      </c>
      <c r="F39" s="598"/>
      <c r="G39" s="191"/>
      <c r="H39" s="191"/>
      <c r="I39" s="191"/>
      <c r="J39" s="191"/>
      <c r="K39" s="191"/>
      <c r="L39" s="191">
        <v>100000</v>
      </c>
    </row>
    <row r="40" spans="1:12" s="47" customFormat="1" ht="25.5">
      <c r="A40" s="269"/>
      <c r="B40" s="282"/>
      <c r="C40" s="191" t="s">
        <v>680</v>
      </c>
      <c r="D40" s="191"/>
      <c r="E40" s="191">
        <f t="shared" si="0"/>
        <v>60000</v>
      </c>
      <c r="F40" s="598"/>
      <c r="G40" s="191"/>
      <c r="H40" s="191"/>
      <c r="I40" s="191"/>
      <c r="J40" s="191"/>
      <c r="K40" s="191"/>
      <c r="L40" s="191">
        <v>60000</v>
      </c>
    </row>
    <row r="41" spans="1:12" s="47" customFormat="1" ht="25.5">
      <c r="A41" s="183"/>
      <c r="B41" s="211"/>
      <c r="C41" s="619" t="s">
        <v>456</v>
      </c>
      <c r="D41" s="619">
        <v>600000</v>
      </c>
      <c r="E41" s="619">
        <f t="shared" si="0"/>
        <v>0</v>
      </c>
      <c r="F41" s="620">
        <f t="shared" si="1"/>
        <v>0</v>
      </c>
      <c r="G41" s="619"/>
      <c r="H41" s="619"/>
      <c r="I41" s="619"/>
      <c r="J41" s="619"/>
      <c r="K41" s="619"/>
      <c r="L41" s="619"/>
    </row>
    <row r="42" spans="1:12" s="47" customFormat="1" ht="15.75">
      <c r="A42" s="384">
        <v>700</v>
      </c>
      <c r="B42" s="385"/>
      <c r="C42" s="386" t="s">
        <v>269</v>
      </c>
      <c r="D42" s="386">
        <f>+D43+D58+D60</f>
        <v>7770811</v>
      </c>
      <c r="E42" s="386">
        <f t="shared" si="0"/>
        <v>6496003</v>
      </c>
      <c r="F42" s="599">
        <f t="shared" si="1"/>
        <v>83.59491692694624</v>
      </c>
      <c r="G42" s="386">
        <f aca="true" t="shared" si="2" ref="G42:L42">+G43+G58+G60</f>
        <v>3233800</v>
      </c>
      <c r="H42" s="386">
        <f t="shared" si="2"/>
        <v>0</v>
      </c>
      <c r="I42" s="386">
        <f t="shared" si="2"/>
        <v>0</v>
      </c>
      <c r="J42" s="386">
        <f t="shared" si="2"/>
        <v>0</v>
      </c>
      <c r="K42" s="386">
        <f t="shared" si="2"/>
        <v>0</v>
      </c>
      <c r="L42" s="386">
        <f t="shared" si="2"/>
        <v>3262203</v>
      </c>
    </row>
    <row r="43" spans="1:12" s="47" customFormat="1" ht="12.75">
      <c r="A43" s="269"/>
      <c r="B43" s="203" t="s">
        <v>415</v>
      </c>
      <c r="C43" s="190" t="s">
        <v>271</v>
      </c>
      <c r="D43" s="190">
        <f>SUM(D44:D55)</f>
        <v>4689211</v>
      </c>
      <c r="E43" s="190">
        <f t="shared" si="0"/>
        <v>1045803</v>
      </c>
      <c r="F43" s="595">
        <f t="shared" si="1"/>
        <v>22.302323354611257</v>
      </c>
      <c r="G43" s="190">
        <f>SUM(G44:G57)</f>
        <v>783600</v>
      </c>
      <c r="H43" s="190">
        <f>SUM(H44:H57)</f>
        <v>0</v>
      </c>
      <c r="I43" s="190">
        <f>SUM(I44:I57)</f>
        <v>0</v>
      </c>
      <c r="J43" s="190">
        <f>SUM(J44:J57)</f>
        <v>0</v>
      </c>
      <c r="K43" s="190">
        <f>SUM(K44:K57)</f>
        <v>0</v>
      </c>
      <c r="L43" s="190">
        <f>SUM(L44:L55)</f>
        <v>262203</v>
      </c>
    </row>
    <row r="44" spans="1:12" s="47" customFormat="1" ht="25.5">
      <c r="A44" s="269"/>
      <c r="B44" s="282"/>
      <c r="C44" s="188" t="s">
        <v>630</v>
      </c>
      <c r="D44" s="223">
        <v>10000</v>
      </c>
      <c r="E44" s="191">
        <f t="shared" si="0"/>
        <v>10000</v>
      </c>
      <c r="F44" s="598">
        <f t="shared" si="1"/>
        <v>100</v>
      </c>
      <c r="G44" s="188">
        <v>10000</v>
      </c>
      <c r="H44" s="188"/>
      <c r="I44" s="188"/>
      <c r="J44" s="188"/>
      <c r="K44" s="188"/>
      <c r="L44" s="188"/>
    </row>
    <row r="45" spans="1:12" s="47" customFormat="1" ht="25.5">
      <c r="A45" s="269"/>
      <c r="B45" s="282"/>
      <c r="C45" s="188" t="s">
        <v>270</v>
      </c>
      <c r="D45" s="223">
        <v>164000</v>
      </c>
      <c r="E45" s="191">
        <f t="shared" si="0"/>
        <v>215000</v>
      </c>
      <c r="F45" s="598">
        <f t="shared" si="1"/>
        <v>131.09756097560975</v>
      </c>
      <c r="G45" s="188">
        <f>190000+25000</f>
        <v>215000</v>
      </c>
      <c r="H45" s="188"/>
      <c r="I45" s="188"/>
      <c r="J45" s="188"/>
      <c r="K45" s="188"/>
      <c r="L45" s="188"/>
    </row>
    <row r="46" spans="1:12" s="47" customFormat="1" ht="25.5">
      <c r="A46" s="269"/>
      <c r="B46" s="282"/>
      <c r="C46" s="188" t="s">
        <v>631</v>
      </c>
      <c r="D46" s="223">
        <v>0</v>
      </c>
      <c r="E46" s="191">
        <f t="shared" si="0"/>
        <v>72000</v>
      </c>
      <c r="F46" s="598"/>
      <c r="G46" s="188">
        <v>72000</v>
      </c>
      <c r="H46" s="188"/>
      <c r="I46" s="188"/>
      <c r="J46" s="188"/>
      <c r="K46" s="188"/>
      <c r="L46" s="188"/>
    </row>
    <row r="47" spans="1:12" s="47" customFormat="1" ht="12.75">
      <c r="A47" s="269"/>
      <c r="B47" s="282"/>
      <c r="C47" s="188" t="s">
        <v>632</v>
      </c>
      <c r="D47" s="223">
        <v>15000</v>
      </c>
      <c r="E47" s="191">
        <f t="shared" si="0"/>
        <v>20000</v>
      </c>
      <c r="F47" s="598">
        <f t="shared" si="1"/>
        <v>133.33333333333331</v>
      </c>
      <c r="G47" s="188">
        <v>20000</v>
      </c>
      <c r="H47" s="188"/>
      <c r="I47" s="188"/>
      <c r="J47" s="188"/>
      <c r="K47" s="188"/>
      <c r="L47" s="188"/>
    </row>
    <row r="48" spans="1:12" s="47" customFormat="1" ht="12.75">
      <c r="A48" s="269"/>
      <c r="B48" s="282"/>
      <c r="C48" s="188" t="s">
        <v>272</v>
      </c>
      <c r="D48" s="223">
        <v>25000</v>
      </c>
      <c r="E48" s="191">
        <f t="shared" si="0"/>
        <v>100000</v>
      </c>
      <c r="F48" s="598">
        <f t="shared" si="1"/>
        <v>400</v>
      </c>
      <c r="G48" s="188">
        <v>100000</v>
      </c>
      <c r="H48" s="188"/>
      <c r="I48" s="188"/>
      <c r="J48" s="188"/>
      <c r="K48" s="188"/>
      <c r="L48" s="188"/>
    </row>
    <row r="49" spans="1:12" s="47" customFormat="1" ht="12.75">
      <c r="A49" s="269"/>
      <c r="B49" s="282"/>
      <c r="C49" s="188" t="s">
        <v>273</v>
      </c>
      <c r="D49" s="223">
        <v>25000</v>
      </c>
      <c r="E49" s="191">
        <f t="shared" si="0"/>
        <v>50000</v>
      </c>
      <c r="F49" s="598">
        <f t="shared" si="1"/>
        <v>200</v>
      </c>
      <c r="G49" s="188">
        <v>50000</v>
      </c>
      <c r="H49" s="188"/>
      <c r="I49" s="188"/>
      <c r="J49" s="188"/>
      <c r="K49" s="188"/>
      <c r="L49" s="188"/>
    </row>
    <row r="50" spans="1:12" s="47" customFormat="1" ht="12.75">
      <c r="A50" s="269"/>
      <c r="B50" s="282"/>
      <c r="C50" s="188" t="s">
        <v>274</v>
      </c>
      <c r="D50" s="223">
        <v>40000</v>
      </c>
      <c r="E50" s="191">
        <f t="shared" si="0"/>
        <v>100000</v>
      </c>
      <c r="F50" s="598">
        <f t="shared" si="1"/>
        <v>250</v>
      </c>
      <c r="G50" s="188">
        <v>100000</v>
      </c>
      <c r="H50" s="188"/>
      <c r="I50" s="188"/>
      <c r="J50" s="188"/>
      <c r="K50" s="188"/>
      <c r="L50" s="188"/>
    </row>
    <row r="51" spans="1:12" s="47" customFormat="1" ht="12.75">
      <c r="A51" s="269"/>
      <c r="B51" s="282"/>
      <c r="C51" s="367" t="s">
        <v>275</v>
      </c>
      <c r="D51" s="223">
        <v>15000</v>
      </c>
      <c r="E51" s="191">
        <f t="shared" si="0"/>
        <v>20000</v>
      </c>
      <c r="F51" s="598">
        <f t="shared" si="1"/>
        <v>133.33333333333331</v>
      </c>
      <c r="G51" s="188">
        <v>20000</v>
      </c>
      <c r="H51" s="188"/>
      <c r="I51" s="188"/>
      <c r="J51" s="188"/>
      <c r="K51" s="188"/>
      <c r="L51" s="188"/>
    </row>
    <row r="52" spans="1:12" s="47" customFormat="1" ht="25.5">
      <c r="A52" s="269"/>
      <c r="B52" s="282"/>
      <c r="C52" s="367" t="s">
        <v>633</v>
      </c>
      <c r="D52" s="223">
        <v>40000</v>
      </c>
      <c r="E52" s="191">
        <f t="shared" si="0"/>
        <v>100000</v>
      </c>
      <c r="F52" s="598">
        <f t="shared" si="1"/>
        <v>250</v>
      </c>
      <c r="G52" s="188">
        <v>100000</v>
      </c>
      <c r="H52" s="188"/>
      <c r="I52" s="188"/>
      <c r="J52" s="188"/>
      <c r="K52" s="188"/>
      <c r="L52" s="188"/>
    </row>
    <row r="53" spans="1:12" s="47" customFormat="1" ht="12.75">
      <c r="A53" s="269"/>
      <c r="B53" s="282"/>
      <c r="C53" s="367" t="s">
        <v>276</v>
      </c>
      <c r="D53" s="223">
        <v>25000</v>
      </c>
      <c r="E53" s="191">
        <f t="shared" si="0"/>
        <v>23000</v>
      </c>
      <c r="F53" s="598">
        <f t="shared" si="1"/>
        <v>92</v>
      </c>
      <c r="G53" s="188">
        <v>23000</v>
      </c>
      <c r="H53" s="188"/>
      <c r="I53" s="188"/>
      <c r="J53" s="188"/>
      <c r="K53" s="188"/>
      <c r="L53" s="188"/>
    </row>
    <row r="54" spans="1:12" s="47" customFormat="1" ht="12.75">
      <c r="A54" s="269"/>
      <c r="B54" s="282"/>
      <c r="C54" s="367" t="s">
        <v>277</v>
      </c>
      <c r="D54" s="223">
        <v>25000</v>
      </c>
      <c r="E54" s="191">
        <f t="shared" si="0"/>
        <v>73600</v>
      </c>
      <c r="F54" s="598">
        <f t="shared" si="1"/>
        <v>294.4</v>
      </c>
      <c r="G54" s="188">
        <v>73600</v>
      </c>
      <c r="H54" s="188"/>
      <c r="I54" s="188"/>
      <c r="J54" s="188"/>
      <c r="K54" s="188"/>
      <c r="L54" s="188"/>
    </row>
    <row r="55" spans="1:12" s="47" customFormat="1" ht="12.75">
      <c r="A55" s="269"/>
      <c r="B55" s="282"/>
      <c r="C55" s="368" t="s">
        <v>423</v>
      </c>
      <c r="D55" s="190">
        <f>+D56+D57</f>
        <v>4305211</v>
      </c>
      <c r="E55" s="190">
        <f>+E56+E57</f>
        <v>262203</v>
      </c>
      <c r="F55" s="595">
        <f t="shared" si="1"/>
        <v>6.090363515284152</v>
      </c>
      <c r="G55" s="190">
        <v>0</v>
      </c>
      <c r="H55" s="190"/>
      <c r="I55" s="190"/>
      <c r="J55" s="190"/>
      <c r="K55" s="190"/>
      <c r="L55" s="190">
        <f>+L57</f>
        <v>262203</v>
      </c>
    </row>
    <row r="56" spans="1:12" s="47" customFormat="1" ht="12.75">
      <c r="A56" s="269"/>
      <c r="B56" s="282"/>
      <c r="C56" s="367" t="s">
        <v>586</v>
      </c>
      <c r="D56" s="188">
        <v>4200000</v>
      </c>
      <c r="E56" s="188"/>
      <c r="F56" s="596">
        <f t="shared" si="1"/>
        <v>0</v>
      </c>
      <c r="G56" s="188">
        <v>0</v>
      </c>
      <c r="H56" s="188"/>
      <c r="I56" s="188"/>
      <c r="J56" s="188"/>
      <c r="K56" s="188"/>
      <c r="L56" s="188"/>
    </row>
    <row r="57" spans="1:12" s="47" customFormat="1" ht="25.5">
      <c r="A57" s="269"/>
      <c r="B57" s="214"/>
      <c r="C57" s="369" t="s">
        <v>681</v>
      </c>
      <c r="D57" s="191">
        <v>105211</v>
      </c>
      <c r="E57" s="191">
        <f t="shared" si="0"/>
        <v>262203</v>
      </c>
      <c r="F57" s="598">
        <f t="shared" si="1"/>
        <v>249.2163366948323</v>
      </c>
      <c r="G57" s="191">
        <v>0</v>
      </c>
      <c r="H57" s="191"/>
      <c r="I57" s="191"/>
      <c r="J57" s="191"/>
      <c r="K57" s="191"/>
      <c r="L57" s="191">
        <v>262203</v>
      </c>
    </row>
    <row r="58" spans="1:12" s="47" customFormat="1" ht="12.75">
      <c r="A58" s="269"/>
      <c r="B58" s="203" t="s">
        <v>416</v>
      </c>
      <c r="C58" s="370" t="s">
        <v>341</v>
      </c>
      <c r="D58" s="193">
        <f>+D59</f>
        <v>610000</v>
      </c>
      <c r="E58" s="193">
        <f t="shared" si="0"/>
        <v>2000000</v>
      </c>
      <c r="F58" s="600">
        <f t="shared" si="1"/>
        <v>327.8688524590164</v>
      </c>
      <c r="G58" s="193">
        <f>+G59</f>
        <v>0</v>
      </c>
      <c r="H58" s="193"/>
      <c r="I58" s="193"/>
      <c r="J58" s="193"/>
      <c r="K58" s="193"/>
      <c r="L58" s="193">
        <f>+L59</f>
        <v>2000000</v>
      </c>
    </row>
    <row r="59" spans="1:12" s="47" customFormat="1" ht="12.75">
      <c r="A59" s="269"/>
      <c r="B59" s="214"/>
      <c r="C59" s="371" t="s">
        <v>342</v>
      </c>
      <c r="D59" s="192">
        <v>610000</v>
      </c>
      <c r="E59" s="192">
        <f t="shared" si="0"/>
        <v>2000000</v>
      </c>
      <c r="F59" s="597">
        <f t="shared" si="1"/>
        <v>327.8688524590164</v>
      </c>
      <c r="G59" s="192"/>
      <c r="H59" s="192"/>
      <c r="I59" s="192"/>
      <c r="J59" s="192"/>
      <c r="K59" s="192"/>
      <c r="L59" s="192">
        <v>2000000</v>
      </c>
    </row>
    <row r="60" spans="1:12" s="47" customFormat="1" ht="12.75">
      <c r="A60" s="269"/>
      <c r="B60" s="203" t="s">
        <v>417</v>
      </c>
      <c r="C60" s="370" t="s">
        <v>278</v>
      </c>
      <c r="D60" s="193">
        <f>SUM(D61:D69)</f>
        <v>2471600</v>
      </c>
      <c r="E60" s="193">
        <f t="shared" si="0"/>
        <v>3450200</v>
      </c>
      <c r="F60" s="600">
        <f t="shared" si="1"/>
        <v>139.59378540216863</v>
      </c>
      <c r="G60" s="193">
        <f>SUM(G61:G70)</f>
        <v>2450200</v>
      </c>
      <c r="H60" s="193"/>
      <c r="I60" s="193"/>
      <c r="J60" s="193"/>
      <c r="K60" s="193"/>
      <c r="L60" s="193">
        <f>SUM(L61:L69)</f>
        <v>1000000</v>
      </c>
    </row>
    <row r="61" spans="1:12" s="47" customFormat="1" ht="25.5">
      <c r="A61" s="269"/>
      <c r="B61" s="282"/>
      <c r="C61" s="371" t="s">
        <v>554</v>
      </c>
      <c r="D61" s="219">
        <v>25000</v>
      </c>
      <c r="E61" s="191">
        <f t="shared" si="0"/>
        <v>67000</v>
      </c>
      <c r="F61" s="601">
        <f t="shared" si="1"/>
        <v>268</v>
      </c>
      <c r="G61" s="192">
        <f>42000+25000</f>
        <v>67000</v>
      </c>
      <c r="H61" s="192"/>
      <c r="I61" s="192"/>
      <c r="J61" s="192"/>
      <c r="K61" s="192"/>
      <c r="L61" s="192"/>
    </row>
    <row r="62" spans="1:12" s="47" customFormat="1" ht="12.75">
      <c r="A62" s="269"/>
      <c r="B62" s="282"/>
      <c r="C62" s="371" t="s">
        <v>279</v>
      </c>
      <c r="D62" s="219">
        <v>45000</v>
      </c>
      <c r="E62" s="194">
        <f t="shared" si="0"/>
        <v>60000</v>
      </c>
      <c r="F62" s="601">
        <f t="shared" si="1"/>
        <v>133.33333333333331</v>
      </c>
      <c r="G62" s="219">
        <f>132700-72700</f>
        <v>60000</v>
      </c>
      <c r="H62" s="192"/>
      <c r="I62" s="192"/>
      <c r="J62" s="192"/>
      <c r="K62" s="192"/>
      <c r="L62" s="192"/>
    </row>
    <row r="63" spans="1:12" s="47" customFormat="1" ht="12.75">
      <c r="A63" s="269"/>
      <c r="B63" s="282"/>
      <c r="C63" s="367" t="s">
        <v>280</v>
      </c>
      <c r="D63" s="223">
        <f>1593200+3471600-3368200</f>
        <v>1696600</v>
      </c>
      <c r="E63" s="191">
        <f t="shared" si="0"/>
        <v>1753200</v>
      </c>
      <c r="F63" s="598">
        <f t="shared" si="1"/>
        <v>103.33608393257103</v>
      </c>
      <c r="G63" s="188">
        <f>40000+1713200</f>
        <v>1753200</v>
      </c>
      <c r="H63" s="188"/>
      <c r="I63" s="188"/>
      <c r="J63" s="188"/>
      <c r="K63" s="188"/>
      <c r="L63" s="188"/>
    </row>
    <row r="64" spans="1:12" s="47" customFormat="1" ht="12.75">
      <c r="A64" s="269"/>
      <c r="B64" s="282"/>
      <c r="C64" s="371" t="s">
        <v>539</v>
      </c>
      <c r="D64" s="219">
        <v>520000</v>
      </c>
      <c r="E64" s="191">
        <f t="shared" si="0"/>
        <v>350000</v>
      </c>
      <c r="F64" s="601">
        <f t="shared" si="1"/>
        <v>67.3076923076923</v>
      </c>
      <c r="G64" s="219">
        <f>900000-550000</f>
        <v>350000</v>
      </c>
      <c r="H64" s="192"/>
      <c r="I64" s="192"/>
      <c r="J64" s="192"/>
      <c r="K64" s="192"/>
      <c r="L64" s="192"/>
    </row>
    <row r="65" spans="1:12" s="47" customFormat="1" ht="12.75">
      <c r="A65" s="269"/>
      <c r="B65" s="282"/>
      <c r="C65" s="371" t="s">
        <v>281</v>
      </c>
      <c r="D65" s="219">
        <v>30000</v>
      </c>
      <c r="E65" s="191">
        <f t="shared" si="0"/>
        <v>40000</v>
      </c>
      <c r="F65" s="601">
        <f t="shared" si="1"/>
        <v>133.33333333333331</v>
      </c>
      <c r="G65" s="192">
        <v>40000</v>
      </c>
      <c r="H65" s="192"/>
      <c r="I65" s="192"/>
      <c r="J65" s="192"/>
      <c r="K65" s="192"/>
      <c r="L65" s="192"/>
    </row>
    <row r="66" spans="1:12" s="47" customFormat="1" ht="12.75">
      <c r="A66" s="269"/>
      <c r="B66" s="282"/>
      <c r="C66" s="371" t="s">
        <v>284</v>
      </c>
      <c r="D66" s="219">
        <v>40000</v>
      </c>
      <c r="E66" s="191">
        <f t="shared" si="0"/>
        <v>50000</v>
      </c>
      <c r="F66" s="601">
        <f t="shared" si="1"/>
        <v>125</v>
      </c>
      <c r="G66" s="192">
        <v>50000</v>
      </c>
      <c r="H66" s="192"/>
      <c r="I66" s="192"/>
      <c r="J66" s="192"/>
      <c r="K66" s="192"/>
      <c r="L66" s="192"/>
    </row>
    <row r="67" spans="1:12" s="47" customFormat="1" ht="12.75">
      <c r="A67" s="269"/>
      <c r="B67" s="282"/>
      <c r="C67" s="192" t="s">
        <v>282</v>
      </c>
      <c r="D67" s="219">
        <v>115000</v>
      </c>
      <c r="E67" s="191">
        <f t="shared" si="0"/>
        <v>130000</v>
      </c>
      <c r="F67" s="601">
        <f t="shared" si="1"/>
        <v>113.04347826086956</v>
      </c>
      <c r="G67" s="192">
        <v>130000</v>
      </c>
      <c r="H67" s="192"/>
      <c r="I67" s="192"/>
      <c r="J67" s="192"/>
      <c r="K67" s="192"/>
      <c r="L67" s="192"/>
    </row>
    <row r="68" spans="1:12" s="47" customFormat="1" ht="12.75">
      <c r="A68" s="269"/>
      <c r="B68" s="282"/>
      <c r="C68" s="195" t="s">
        <v>521</v>
      </c>
      <c r="D68" s="195"/>
      <c r="E68" s="192">
        <f t="shared" si="0"/>
        <v>0</v>
      </c>
      <c r="F68" s="597"/>
      <c r="G68" s="192">
        <f>200000-200000</f>
        <v>0</v>
      </c>
      <c r="H68" s="192"/>
      <c r="I68" s="192"/>
      <c r="J68" s="192"/>
      <c r="K68" s="192"/>
      <c r="L68" s="192"/>
    </row>
    <row r="69" spans="1:12" s="47" customFormat="1" ht="12.75">
      <c r="A69" s="269"/>
      <c r="B69" s="282"/>
      <c r="C69" s="193" t="s">
        <v>283</v>
      </c>
      <c r="D69" s="193" t="s">
        <v>25</v>
      </c>
      <c r="E69" s="193">
        <f>+E70</f>
        <v>1000000</v>
      </c>
      <c r="F69" s="597" t="s">
        <v>25</v>
      </c>
      <c r="G69" s="192"/>
      <c r="H69" s="192"/>
      <c r="I69" s="192"/>
      <c r="J69" s="192"/>
      <c r="K69" s="192"/>
      <c r="L69" s="193">
        <f>+L70</f>
        <v>1000000</v>
      </c>
    </row>
    <row r="70" spans="1:12" s="47" customFormat="1" ht="12.75">
      <c r="A70" s="183"/>
      <c r="B70" s="211"/>
      <c r="C70" s="194" t="s">
        <v>682</v>
      </c>
      <c r="D70" s="264" t="s">
        <v>25</v>
      </c>
      <c r="E70" s="194">
        <f t="shared" si="0"/>
        <v>1000000</v>
      </c>
      <c r="F70" s="601" t="s">
        <v>25</v>
      </c>
      <c r="G70" s="194"/>
      <c r="H70" s="194"/>
      <c r="I70" s="194"/>
      <c r="J70" s="194"/>
      <c r="K70" s="194"/>
      <c r="L70" s="194">
        <v>1000000</v>
      </c>
    </row>
    <row r="71" spans="1:12" s="47" customFormat="1" ht="15.75">
      <c r="A71" s="384">
        <v>750</v>
      </c>
      <c r="B71" s="387"/>
      <c r="C71" s="362" t="s">
        <v>285</v>
      </c>
      <c r="D71" s="362">
        <f>+D72+D75+D80</f>
        <v>4983305</v>
      </c>
      <c r="E71" s="362">
        <f t="shared" si="0"/>
        <v>5538000</v>
      </c>
      <c r="F71" s="594">
        <f t="shared" si="1"/>
        <v>111.13106663148251</v>
      </c>
      <c r="G71" s="362">
        <f aca="true" t="shared" si="3" ref="G71:L71">+G72+G75+G80</f>
        <v>5488000</v>
      </c>
      <c r="H71" s="362">
        <f t="shared" si="3"/>
        <v>2920000</v>
      </c>
      <c r="I71" s="362">
        <f t="shared" si="3"/>
        <v>592000</v>
      </c>
      <c r="J71" s="362">
        <f t="shared" si="3"/>
        <v>0</v>
      </c>
      <c r="K71" s="362">
        <f t="shared" si="3"/>
        <v>0</v>
      </c>
      <c r="L71" s="362">
        <f t="shared" si="3"/>
        <v>50000</v>
      </c>
    </row>
    <row r="72" spans="1:12" s="47" customFormat="1" ht="25.5">
      <c r="A72" s="182"/>
      <c r="B72" s="203" t="s">
        <v>418</v>
      </c>
      <c r="C72" s="190" t="s">
        <v>286</v>
      </c>
      <c r="D72" s="190">
        <v>155000</v>
      </c>
      <c r="E72" s="190">
        <f t="shared" si="0"/>
        <v>256000</v>
      </c>
      <c r="F72" s="595">
        <f t="shared" si="1"/>
        <v>165.16129032258064</v>
      </c>
      <c r="G72" s="190">
        <f>+G73+G74</f>
        <v>256000</v>
      </c>
      <c r="H72" s="190">
        <f>+H73+H74</f>
        <v>0</v>
      </c>
      <c r="I72" s="190">
        <f>+I73+I74</f>
        <v>0</v>
      </c>
      <c r="J72" s="190"/>
      <c r="K72" s="190"/>
      <c r="L72" s="190"/>
    </row>
    <row r="73" spans="1:13" s="47" customFormat="1" ht="12.75">
      <c r="A73" s="269"/>
      <c r="B73" s="282" t="s">
        <v>25</v>
      </c>
      <c r="C73" s="188" t="s">
        <v>287</v>
      </c>
      <c r="D73" s="188">
        <v>140000</v>
      </c>
      <c r="E73" s="188">
        <f t="shared" si="0"/>
        <v>240000</v>
      </c>
      <c r="F73" s="596">
        <f t="shared" si="1"/>
        <v>171.42857142857142</v>
      </c>
      <c r="G73" s="188">
        <v>240000</v>
      </c>
      <c r="H73" s="188"/>
      <c r="I73" s="188"/>
      <c r="J73" s="188"/>
      <c r="K73" s="188"/>
      <c r="L73" s="188"/>
      <c r="M73" s="202">
        <f>+M75+M76-M77</f>
        <v>1508187</v>
      </c>
    </row>
    <row r="74" spans="1:12" s="47" customFormat="1" ht="12.75">
      <c r="A74" s="269"/>
      <c r="B74" s="214"/>
      <c r="C74" s="188" t="s">
        <v>288</v>
      </c>
      <c r="D74" s="188">
        <v>15000</v>
      </c>
      <c r="E74" s="188">
        <f t="shared" si="0"/>
        <v>16000</v>
      </c>
      <c r="F74" s="596">
        <f t="shared" si="1"/>
        <v>106.66666666666667</v>
      </c>
      <c r="G74" s="188">
        <v>16000</v>
      </c>
      <c r="H74" s="188"/>
      <c r="I74" s="188"/>
      <c r="J74" s="188"/>
      <c r="K74" s="188"/>
      <c r="L74" s="188"/>
    </row>
    <row r="75" spans="1:13" s="47" customFormat="1" ht="25.5">
      <c r="A75" s="269"/>
      <c r="B75" s="203" t="s">
        <v>419</v>
      </c>
      <c r="C75" s="190" t="s">
        <v>289</v>
      </c>
      <c r="D75" s="190">
        <f>+D76+D77</f>
        <v>4602789</v>
      </c>
      <c r="E75" s="190">
        <f t="shared" si="0"/>
        <v>5022000</v>
      </c>
      <c r="F75" s="595">
        <f aca="true" t="shared" si="4" ref="F75:F151">+E75/D75*100</f>
        <v>109.107760533885</v>
      </c>
      <c r="G75" s="190">
        <f>+G76</f>
        <v>4972000</v>
      </c>
      <c r="H75" s="190">
        <f>+H76</f>
        <v>2920000</v>
      </c>
      <c r="I75" s="190">
        <f>+I76</f>
        <v>592000</v>
      </c>
      <c r="J75" s="190"/>
      <c r="K75" s="190"/>
      <c r="L75" s="190">
        <f>+L77</f>
        <v>50000</v>
      </c>
      <c r="M75" s="202">
        <f>+E75-H75-I75</f>
        <v>1510000</v>
      </c>
    </row>
    <row r="76" spans="1:13" s="47" customFormat="1" ht="12.75">
      <c r="A76" s="269"/>
      <c r="B76" s="282"/>
      <c r="C76" s="188" t="s">
        <v>290</v>
      </c>
      <c r="D76" s="188">
        <f>4602789-D77</f>
        <v>4370789</v>
      </c>
      <c r="E76" s="188">
        <f t="shared" si="0"/>
        <v>4972000</v>
      </c>
      <c r="F76" s="596">
        <f t="shared" si="4"/>
        <v>113.75520529588594</v>
      </c>
      <c r="G76" s="188">
        <f>4900000+72000</f>
        <v>4972000</v>
      </c>
      <c r="H76" s="188">
        <f>2650000+210000+60000</f>
        <v>2920000</v>
      </c>
      <c r="I76" s="188">
        <f>580000+12000</f>
        <v>592000</v>
      </c>
      <c r="J76" s="188"/>
      <c r="K76" s="188"/>
      <c r="L76" s="188"/>
      <c r="M76" s="47">
        <f>2419+160+40</f>
        <v>2619</v>
      </c>
    </row>
    <row r="77" spans="1:13" s="47" customFormat="1" ht="12.75">
      <c r="A77" s="269"/>
      <c r="B77" s="282"/>
      <c r="C77" s="190" t="s">
        <v>423</v>
      </c>
      <c r="D77" s="190">
        <f>+D78+D79</f>
        <v>232000</v>
      </c>
      <c r="E77" s="190">
        <f t="shared" si="0"/>
        <v>50000</v>
      </c>
      <c r="F77" s="596">
        <f t="shared" si="4"/>
        <v>21.551724137931032</v>
      </c>
      <c r="G77" s="188"/>
      <c r="H77" s="188"/>
      <c r="I77" s="188"/>
      <c r="J77" s="188"/>
      <c r="K77" s="188"/>
      <c r="L77" s="190">
        <f>+L78</f>
        <v>50000</v>
      </c>
      <c r="M77" s="47">
        <f>4602-170</f>
        <v>4432</v>
      </c>
    </row>
    <row r="78" spans="1:13" s="47" customFormat="1" ht="12.75">
      <c r="A78" s="269"/>
      <c r="B78" s="282"/>
      <c r="C78" s="191" t="s">
        <v>291</v>
      </c>
      <c r="D78" s="191">
        <v>62000</v>
      </c>
      <c r="E78" s="188">
        <f t="shared" si="0"/>
        <v>50000</v>
      </c>
      <c r="F78" s="596">
        <f t="shared" si="4"/>
        <v>80.64516129032258</v>
      </c>
      <c r="G78" s="191"/>
      <c r="H78" s="191" t="s">
        <v>25</v>
      </c>
      <c r="I78" s="191" t="s">
        <v>25</v>
      </c>
      <c r="J78" s="191"/>
      <c r="K78" s="191"/>
      <c r="L78" s="191">
        <v>50000</v>
      </c>
      <c r="M78" s="47">
        <f>+M77-M76</f>
        <v>1813</v>
      </c>
    </row>
    <row r="79" spans="1:13" s="47" customFormat="1" ht="12.75">
      <c r="A79" s="269"/>
      <c r="B79" s="214"/>
      <c r="C79" s="191" t="s">
        <v>524</v>
      </c>
      <c r="D79" s="191">
        <v>170000</v>
      </c>
      <c r="E79" s="191">
        <f t="shared" si="0"/>
        <v>0</v>
      </c>
      <c r="F79" s="598">
        <f t="shared" si="4"/>
        <v>0</v>
      </c>
      <c r="G79" s="191"/>
      <c r="H79" s="191"/>
      <c r="I79" s="191"/>
      <c r="J79" s="191"/>
      <c r="K79" s="191"/>
      <c r="L79" s="191">
        <v>0</v>
      </c>
      <c r="M79" s="47">
        <f>50+550+560+35+50+55+45</f>
        <v>1345</v>
      </c>
    </row>
    <row r="80" spans="1:13" s="47" customFormat="1" ht="25.5">
      <c r="A80" s="269"/>
      <c r="B80" s="203" t="s">
        <v>420</v>
      </c>
      <c r="C80" s="190" t="s">
        <v>292</v>
      </c>
      <c r="D80" s="190">
        <f>+D81</f>
        <v>225516</v>
      </c>
      <c r="E80" s="190">
        <f t="shared" si="0"/>
        <v>260000</v>
      </c>
      <c r="F80" s="595">
        <f t="shared" si="4"/>
        <v>115.29115450788414</v>
      </c>
      <c r="G80" s="190">
        <f>+G81</f>
        <v>260000</v>
      </c>
      <c r="H80" s="190">
        <f>+H81</f>
        <v>0</v>
      </c>
      <c r="I80" s="190">
        <f>+I81</f>
        <v>0</v>
      </c>
      <c r="J80" s="190">
        <f>+J81</f>
        <v>0</v>
      </c>
      <c r="K80" s="190">
        <f>+K81</f>
        <v>0</v>
      </c>
      <c r="L80" s="190"/>
      <c r="M80" s="228" t="s">
        <v>502</v>
      </c>
    </row>
    <row r="81" spans="1:12" s="47" customFormat="1" ht="12.75">
      <c r="A81" s="269"/>
      <c r="B81" s="211"/>
      <c r="C81" s="188" t="s">
        <v>293</v>
      </c>
      <c r="D81" s="188">
        <v>225516</v>
      </c>
      <c r="E81" s="188">
        <f t="shared" si="0"/>
        <v>260000</v>
      </c>
      <c r="F81" s="596">
        <f t="shared" si="4"/>
        <v>115.29115450788414</v>
      </c>
      <c r="G81" s="188">
        <v>260000</v>
      </c>
      <c r="H81" s="188"/>
      <c r="I81" s="188"/>
      <c r="J81" s="188"/>
      <c r="K81" s="188"/>
      <c r="L81" s="188"/>
    </row>
    <row r="82" spans="1:12" s="47" customFormat="1" ht="31.5">
      <c r="A82" s="384">
        <v>754</v>
      </c>
      <c r="B82" s="387"/>
      <c r="C82" s="362" t="s">
        <v>330</v>
      </c>
      <c r="D82" s="362">
        <f>+D83+D85+D86+D88+D91</f>
        <v>533500</v>
      </c>
      <c r="E82" s="362">
        <v>411928</v>
      </c>
      <c r="F82" s="594">
        <f t="shared" si="4"/>
        <v>77.21237113402061</v>
      </c>
      <c r="G82" s="362">
        <v>411928</v>
      </c>
      <c r="H82" s="362">
        <f>+H83+H88+H91</f>
        <v>0</v>
      </c>
      <c r="I82" s="362">
        <f>+I83+I88+I91</f>
        <v>0</v>
      </c>
      <c r="J82" s="362">
        <f>+J83+J88+J91</f>
        <v>190000</v>
      </c>
      <c r="K82" s="362">
        <f>+K83+K88+K91</f>
        <v>0</v>
      </c>
      <c r="L82" s="362">
        <v>0</v>
      </c>
    </row>
    <row r="83" spans="1:12" s="47" customFormat="1" ht="12.75">
      <c r="A83" s="182"/>
      <c r="B83" s="203">
        <v>75405</v>
      </c>
      <c r="C83" s="190" t="s">
        <v>331</v>
      </c>
      <c r="D83" s="190">
        <f>+D84</f>
        <v>50000</v>
      </c>
      <c r="E83" s="190">
        <f t="shared" si="0"/>
        <v>50000</v>
      </c>
      <c r="F83" s="595">
        <f t="shared" si="4"/>
        <v>100</v>
      </c>
      <c r="G83" s="190">
        <f>+G84</f>
        <v>50000</v>
      </c>
      <c r="H83" s="190"/>
      <c r="I83" s="190"/>
      <c r="J83" s="190"/>
      <c r="K83" s="190"/>
      <c r="L83" s="190"/>
    </row>
    <row r="84" spans="1:12" s="47" customFormat="1" ht="12.75">
      <c r="A84" s="269"/>
      <c r="B84" s="214"/>
      <c r="C84" s="188" t="s">
        <v>332</v>
      </c>
      <c r="D84" s="188">
        <v>50000</v>
      </c>
      <c r="E84" s="188">
        <f aca="true" t="shared" si="5" ref="E84:E159">+G84+L84</f>
        <v>50000</v>
      </c>
      <c r="F84" s="596">
        <f t="shared" si="4"/>
        <v>100</v>
      </c>
      <c r="G84" s="188">
        <v>50000</v>
      </c>
      <c r="H84" s="188"/>
      <c r="I84" s="188"/>
      <c r="J84" s="188"/>
      <c r="K84" s="188"/>
      <c r="L84" s="188"/>
    </row>
    <row r="85" spans="1:12" s="47" customFormat="1" ht="12.75">
      <c r="A85" s="269"/>
      <c r="B85" s="272">
        <v>75405</v>
      </c>
      <c r="C85" s="190" t="s">
        <v>548</v>
      </c>
      <c r="D85" s="190">
        <v>1500</v>
      </c>
      <c r="E85" s="190">
        <f t="shared" si="5"/>
        <v>0</v>
      </c>
      <c r="F85" s="595">
        <f>+E85/D85*100</f>
        <v>0</v>
      </c>
      <c r="G85" s="190">
        <f>+G86</f>
        <v>0</v>
      </c>
      <c r="H85" s="190"/>
      <c r="I85" s="190"/>
      <c r="J85" s="190"/>
      <c r="K85" s="190"/>
      <c r="L85" s="190"/>
    </row>
    <row r="86" spans="1:12" s="47" customFormat="1" ht="25.5">
      <c r="A86" s="269"/>
      <c r="B86" s="203">
        <v>75411</v>
      </c>
      <c r="C86" s="190" t="s">
        <v>542</v>
      </c>
      <c r="D86" s="190">
        <f>+D87</f>
        <v>165000</v>
      </c>
      <c r="E86" s="190">
        <f>+G86+L86</f>
        <v>0</v>
      </c>
      <c r="F86" s="595">
        <f>+E86/D86*100</f>
        <v>0</v>
      </c>
      <c r="G86" s="190">
        <f>+G87</f>
        <v>0</v>
      </c>
      <c r="H86" s="190">
        <f>+H87+H88</f>
        <v>0</v>
      </c>
      <c r="I86" s="190">
        <f>+I87+I88</f>
        <v>0</v>
      </c>
      <c r="J86" s="190">
        <f>+J87</f>
        <v>0</v>
      </c>
      <c r="K86" s="188"/>
      <c r="L86" s="188"/>
    </row>
    <row r="87" spans="1:12" s="47" customFormat="1" ht="25.5">
      <c r="A87" s="269"/>
      <c r="B87" s="214"/>
      <c r="C87" s="188" t="s">
        <v>541</v>
      </c>
      <c r="D87" s="188">
        <v>165000</v>
      </c>
      <c r="E87" s="188">
        <f>+G87+L87</f>
        <v>0</v>
      </c>
      <c r="F87" s="596">
        <f>+E87/D87*100</f>
        <v>0</v>
      </c>
      <c r="G87" s="188"/>
      <c r="H87" s="188"/>
      <c r="I87" s="188"/>
      <c r="J87" s="188"/>
      <c r="K87" s="188"/>
      <c r="L87" s="188"/>
    </row>
    <row r="88" spans="1:12" s="47" customFormat="1" ht="12.75">
      <c r="A88" s="182"/>
      <c r="B88" s="203">
        <v>75412</v>
      </c>
      <c r="C88" s="190" t="s">
        <v>333</v>
      </c>
      <c r="D88" s="190">
        <f>+D89+D90</f>
        <v>312000</v>
      </c>
      <c r="E88" s="190">
        <v>356928</v>
      </c>
      <c r="F88" s="595">
        <f t="shared" si="4"/>
        <v>114.39999999999999</v>
      </c>
      <c r="G88" s="190">
        <v>356928</v>
      </c>
      <c r="H88" s="190">
        <f>+H89+H90</f>
        <v>0</v>
      </c>
      <c r="I88" s="190">
        <f>+I89+I90</f>
        <v>0</v>
      </c>
      <c r="J88" s="190">
        <v>190000</v>
      </c>
      <c r="K88" s="190">
        <f>+K89+K90</f>
        <v>0</v>
      </c>
      <c r="L88" s="190" t="s">
        <v>25</v>
      </c>
    </row>
    <row r="89" spans="1:12" s="47" customFormat="1" ht="12.75">
      <c r="A89" s="269"/>
      <c r="B89" s="282"/>
      <c r="C89" s="188" t="s">
        <v>457</v>
      </c>
      <c r="D89" s="188">
        <v>182000</v>
      </c>
      <c r="E89" s="188">
        <f t="shared" si="5"/>
        <v>166928</v>
      </c>
      <c r="F89" s="596">
        <f t="shared" si="4"/>
        <v>91.71868131868132</v>
      </c>
      <c r="G89" s="188">
        <f>506928-190000-150000</f>
        <v>166928</v>
      </c>
      <c r="H89" s="188"/>
      <c r="I89" s="188"/>
      <c r="J89" s="188"/>
      <c r="K89" s="188"/>
      <c r="L89" s="188"/>
    </row>
    <row r="90" spans="1:12" s="47" customFormat="1" ht="25.5">
      <c r="A90" s="269"/>
      <c r="B90" s="214"/>
      <c r="C90" s="188" t="s">
        <v>458</v>
      </c>
      <c r="D90" s="188">
        <v>130000</v>
      </c>
      <c r="E90" s="188">
        <v>190000</v>
      </c>
      <c r="F90" s="596">
        <f t="shared" si="4"/>
        <v>146.15384615384613</v>
      </c>
      <c r="G90" s="188">
        <v>190000</v>
      </c>
      <c r="H90" s="188"/>
      <c r="I90" s="188"/>
      <c r="J90" s="188">
        <v>190000</v>
      </c>
      <c r="K90" s="188"/>
      <c r="L90" s="188" t="s">
        <v>25</v>
      </c>
    </row>
    <row r="91" spans="1:12" s="47" customFormat="1" ht="12.75">
      <c r="A91" s="182"/>
      <c r="B91" s="203">
        <v>75414</v>
      </c>
      <c r="C91" s="190" t="s">
        <v>334</v>
      </c>
      <c r="D91" s="190">
        <f>+D92</f>
        <v>5000</v>
      </c>
      <c r="E91" s="190">
        <f t="shared" si="5"/>
        <v>5000</v>
      </c>
      <c r="F91" s="595">
        <f t="shared" si="4"/>
        <v>100</v>
      </c>
      <c r="G91" s="190">
        <f>+G92</f>
        <v>5000</v>
      </c>
      <c r="H91" s="190"/>
      <c r="I91" s="190"/>
      <c r="J91" s="190"/>
      <c r="K91" s="190"/>
      <c r="L91" s="190"/>
    </row>
    <row r="92" spans="1:12" s="47" customFormat="1" ht="25.5">
      <c r="A92" s="183"/>
      <c r="B92" s="211"/>
      <c r="C92" s="189" t="s">
        <v>335</v>
      </c>
      <c r="D92" s="189">
        <v>5000</v>
      </c>
      <c r="E92" s="189">
        <f t="shared" si="5"/>
        <v>5000</v>
      </c>
      <c r="F92" s="602">
        <f t="shared" si="4"/>
        <v>100</v>
      </c>
      <c r="G92" s="189">
        <v>5000</v>
      </c>
      <c r="H92" s="189"/>
      <c r="I92" s="189"/>
      <c r="J92" s="189"/>
      <c r="K92" s="189"/>
      <c r="L92" s="189"/>
    </row>
    <row r="93" spans="1:12" s="47" customFormat="1" ht="47.25">
      <c r="A93" s="361">
        <v>756</v>
      </c>
      <c r="B93" s="359"/>
      <c r="C93" s="360" t="s">
        <v>634</v>
      </c>
      <c r="D93" s="360">
        <f>+D94</f>
        <v>65000</v>
      </c>
      <c r="E93" s="362">
        <f t="shared" si="5"/>
        <v>89000</v>
      </c>
      <c r="F93" s="594">
        <f t="shared" si="4"/>
        <v>136.92307692307693</v>
      </c>
      <c r="G93" s="362">
        <f aca="true" t="shared" si="6" ref="G93:I94">+G94</f>
        <v>89000</v>
      </c>
      <c r="H93" s="362">
        <f t="shared" si="6"/>
        <v>60000</v>
      </c>
      <c r="I93" s="362">
        <f t="shared" si="6"/>
        <v>13000</v>
      </c>
      <c r="J93" s="362"/>
      <c r="K93" s="362"/>
      <c r="L93" s="362">
        <v>0</v>
      </c>
    </row>
    <row r="94" spans="1:12" s="47" customFormat="1" ht="25.5">
      <c r="A94" s="180"/>
      <c r="B94" s="208">
        <v>75647</v>
      </c>
      <c r="C94" s="187" t="s">
        <v>635</v>
      </c>
      <c r="D94" s="187">
        <f>+D95</f>
        <v>65000</v>
      </c>
      <c r="E94" s="190">
        <f t="shared" si="5"/>
        <v>89000</v>
      </c>
      <c r="F94" s="595">
        <f t="shared" si="4"/>
        <v>136.92307692307693</v>
      </c>
      <c r="G94" s="190">
        <f t="shared" si="6"/>
        <v>89000</v>
      </c>
      <c r="H94" s="190">
        <f t="shared" si="6"/>
        <v>60000</v>
      </c>
      <c r="I94" s="190">
        <f t="shared" si="6"/>
        <v>13000</v>
      </c>
      <c r="J94" s="190"/>
      <c r="K94" s="190"/>
      <c r="L94" s="190"/>
    </row>
    <row r="95" spans="1:12" s="47" customFormat="1" ht="12.75">
      <c r="A95" s="266"/>
      <c r="B95" s="218"/>
      <c r="C95" s="195" t="s">
        <v>294</v>
      </c>
      <c r="D95" s="195">
        <v>65000</v>
      </c>
      <c r="E95" s="192">
        <f t="shared" si="5"/>
        <v>89000</v>
      </c>
      <c r="F95" s="597">
        <f t="shared" si="4"/>
        <v>136.92307692307693</v>
      </c>
      <c r="G95" s="192">
        <v>89000</v>
      </c>
      <c r="H95" s="192">
        <v>60000</v>
      </c>
      <c r="I95" s="192">
        <v>13000</v>
      </c>
      <c r="J95" s="192"/>
      <c r="K95" s="192"/>
      <c r="L95" s="192"/>
    </row>
    <row r="96" spans="1:12" s="47" customFormat="1" ht="15.75">
      <c r="A96" s="361">
        <v>757</v>
      </c>
      <c r="B96" s="359"/>
      <c r="C96" s="360" t="s">
        <v>295</v>
      </c>
      <c r="D96" s="360">
        <f>+D97</f>
        <v>397600</v>
      </c>
      <c r="E96" s="362">
        <f t="shared" si="5"/>
        <v>717000</v>
      </c>
      <c r="F96" s="594">
        <f t="shared" si="4"/>
        <v>180.33199195171025</v>
      </c>
      <c r="G96" s="362">
        <f>+G97</f>
        <v>717000</v>
      </c>
      <c r="H96" s="362">
        <f>+H97</f>
        <v>0</v>
      </c>
      <c r="I96" s="362">
        <f>+I97</f>
        <v>0</v>
      </c>
      <c r="J96" s="362">
        <f>+J97</f>
        <v>0</v>
      </c>
      <c r="K96" s="362">
        <v>717000</v>
      </c>
      <c r="L96" s="362">
        <v>0</v>
      </c>
    </row>
    <row r="97" spans="1:12" s="47" customFormat="1" ht="25.5">
      <c r="A97" s="181"/>
      <c r="B97" s="208">
        <v>75702</v>
      </c>
      <c r="C97" s="187" t="s">
        <v>296</v>
      </c>
      <c r="D97" s="187">
        <f>SUM(D98:D104)</f>
        <v>397600</v>
      </c>
      <c r="E97" s="190">
        <f t="shared" si="5"/>
        <v>717000</v>
      </c>
      <c r="F97" s="595">
        <f t="shared" si="4"/>
        <v>180.33199195171025</v>
      </c>
      <c r="G97" s="190">
        <f>SUM(G98:G104)</f>
        <v>717000</v>
      </c>
      <c r="H97" s="190"/>
      <c r="I97" s="190"/>
      <c r="J97" s="190"/>
      <c r="K97" s="190">
        <v>717000</v>
      </c>
      <c r="L97" s="190"/>
    </row>
    <row r="98" spans="1:12" s="47" customFormat="1" ht="12.75">
      <c r="A98" s="180"/>
      <c r="B98" s="281"/>
      <c r="C98" s="186" t="s">
        <v>297</v>
      </c>
      <c r="D98" s="186">
        <v>72000</v>
      </c>
      <c r="E98" s="188">
        <f t="shared" si="5"/>
        <v>72000</v>
      </c>
      <c r="F98" s="596">
        <f t="shared" si="4"/>
        <v>100</v>
      </c>
      <c r="G98" s="188">
        <v>72000</v>
      </c>
      <c r="H98" s="188"/>
      <c r="I98" s="188"/>
      <c r="J98" s="188"/>
      <c r="K98" s="188">
        <v>72000</v>
      </c>
      <c r="L98" s="188"/>
    </row>
    <row r="99" spans="1:12" s="47" customFormat="1" ht="12.75">
      <c r="A99" s="180"/>
      <c r="B99" s="281"/>
      <c r="C99" s="186" t="s">
        <v>298</v>
      </c>
      <c r="D99" s="186">
        <v>25600</v>
      </c>
      <c r="E99" s="188">
        <f t="shared" si="5"/>
        <v>0</v>
      </c>
      <c r="F99" s="596">
        <f t="shared" si="4"/>
        <v>0</v>
      </c>
      <c r="G99" s="188"/>
      <c r="H99" s="188"/>
      <c r="I99" s="188"/>
      <c r="J99" s="188"/>
      <c r="K99" s="188"/>
      <c r="L99" s="188"/>
    </row>
    <row r="100" spans="1:12" s="47" customFormat="1" ht="12.75">
      <c r="A100" s="180"/>
      <c r="B100" s="281"/>
      <c r="C100" s="186" t="s">
        <v>525</v>
      </c>
      <c r="D100" s="186">
        <v>25000</v>
      </c>
      <c r="E100" s="188">
        <f t="shared" si="5"/>
        <v>25000</v>
      </c>
      <c r="F100" s="596">
        <f t="shared" si="4"/>
        <v>100</v>
      </c>
      <c r="G100" s="188">
        <v>25000</v>
      </c>
      <c r="H100" s="188"/>
      <c r="I100" s="188"/>
      <c r="J100" s="188"/>
      <c r="K100" s="188">
        <v>25000</v>
      </c>
      <c r="L100" s="188"/>
    </row>
    <row r="101" spans="1:12" s="47" customFormat="1" ht="12.75">
      <c r="A101" s="180"/>
      <c r="B101" s="281"/>
      <c r="C101" s="186" t="s">
        <v>526</v>
      </c>
      <c r="D101" s="186"/>
      <c r="E101" s="188">
        <f t="shared" si="5"/>
        <v>10000</v>
      </c>
      <c r="F101" s="596"/>
      <c r="G101" s="188">
        <v>10000</v>
      </c>
      <c r="H101" s="188"/>
      <c r="I101" s="188"/>
      <c r="J101" s="188"/>
      <c r="K101" s="188">
        <v>10000</v>
      </c>
      <c r="L101" s="188"/>
    </row>
    <row r="102" spans="1:12" s="47" customFormat="1" ht="12.75">
      <c r="A102" s="180"/>
      <c r="B102" s="281"/>
      <c r="C102" s="186" t="s">
        <v>527</v>
      </c>
      <c r="D102" s="186">
        <v>275000</v>
      </c>
      <c r="E102" s="188">
        <f t="shared" si="5"/>
        <v>240000</v>
      </c>
      <c r="F102" s="596">
        <f t="shared" si="4"/>
        <v>87.27272727272727</v>
      </c>
      <c r="G102" s="188">
        <v>240000</v>
      </c>
      <c r="H102" s="188"/>
      <c r="I102" s="188"/>
      <c r="J102" s="188"/>
      <c r="K102" s="188">
        <v>240000</v>
      </c>
      <c r="L102" s="188"/>
    </row>
    <row r="103" spans="1:12" s="47" customFormat="1" ht="12.75">
      <c r="A103" s="180"/>
      <c r="B103" s="281"/>
      <c r="C103" s="186" t="s">
        <v>572</v>
      </c>
      <c r="D103" s="186"/>
      <c r="E103" s="188">
        <f t="shared" si="5"/>
        <v>250000</v>
      </c>
      <c r="F103" s="596"/>
      <c r="G103" s="188">
        <v>250000</v>
      </c>
      <c r="H103" s="188"/>
      <c r="I103" s="188"/>
      <c r="J103" s="188"/>
      <c r="K103" s="188">
        <v>250000</v>
      </c>
      <c r="L103" s="188"/>
    </row>
    <row r="104" spans="1:12" s="47" customFormat="1" ht="12.75">
      <c r="A104" s="266"/>
      <c r="B104" s="218"/>
      <c r="C104" s="195" t="s">
        <v>522</v>
      </c>
      <c r="D104" s="195">
        <v>0</v>
      </c>
      <c r="E104" s="192">
        <f t="shared" si="5"/>
        <v>120000</v>
      </c>
      <c r="F104" s="597"/>
      <c r="G104" s="192">
        <v>120000</v>
      </c>
      <c r="H104" s="192"/>
      <c r="I104" s="192"/>
      <c r="J104" s="192"/>
      <c r="K104" s="192">
        <v>120000</v>
      </c>
      <c r="L104" s="192"/>
    </row>
    <row r="105" spans="1:12" s="47" customFormat="1" ht="15.75">
      <c r="A105" s="361">
        <v>758</v>
      </c>
      <c r="B105" s="359"/>
      <c r="C105" s="360" t="s">
        <v>299</v>
      </c>
      <c r="D105" s="360"/>
      <c r="E105" s="362">
        <f t="shared" si="5"/>
        <v>715272</v>
      </c>
      <c r="F105" s="594" t="s">
        <v>25</v>
      </c>
      <c r="G105" s="362">
        <f>+G106</f>
        <v>715272</v>
      </c>
      <c r="H105" s="362"/>
      <c r="I105" s="362"/>
      <c r="J105" s="362"/>
      <c r="K105" s="362"/>
      <c r="L105" s="362">
        <v>0</v>
      </c>
    </row>
    <row r="106" spans="1:12" s="47" customFormat="1" ht="12.75">
      <c r="A106" s="181"/>
      <c r="B106" s="208">
        <v>75818</v>
      </c>
      <c r="C106" s="187" t="s">
        <v>300</v>
      </c>
      <c r="D106" s="187" t="s">
        <v>25</v>
      </c>
      <c r="E106" s="190">
        <f t="shared" si="5"/>
        <v>715272</v>
      </c>
      <c r="F106" s="595" t="s">
        <v>25</v>
      </c>
      <c r="G106" s="190">
        <f>SUM(G107:G111)</f>
        <v>715272</v>
      </c>
      <c r="H106" s="190"/>
      <c r="I106" s="190"/>
      <c r="J106" s="190"/>
      <c r="K106" s="190"/>
      <c r="L106" s="190"/>
    </row>
    <row r="107" spans="1:12" s="47" customFormat="1" ht="12.75">
      <c r="A107" s="180"/>
      <c r="B107" s="281"/>
      <c r="C107" s="186" t="s">
        <v>451</v>
      </c>
      <c r="D107" s="186" t="s">
        <v>25</v>
      </c>
      <c r="E107" s="188">
        <v>225000</v>
      </c>
      <c r="F107" s="596" t="s">
        <v>25</v>
      </c>
      <c r="G107" s="188">
        <v>225000</v>
      </c>
      <c r="H107" s="188"/>
      <c r="I107" s="188"/>
      <c r="J107" s="188"/>
      <c r="K107" s="188"/>
      <c r="L107" s="188"/>
    </row>
    <row r="108" spans="1:12" s="47" customFormat="1" ht="12.75">
      <c r="A108" s="180"/>
      <c r="B108" s="281"/>
      <c r="C108" s="186" t="s">
        <v>570</v>
      </c>
      <c r="D108" s="186"/>
      <c r="E108" s="188">
        <f t="shared" si="5"/>
        <v>20000</v>
      </c>
      <c r="F108" s="596"/>
      <c r="G108" s="188">
        <v>20000</v>
      </c>
      <c r="H108" s="188"/>
      <c r="I108" s="188"/>
      <c r="J108" s="188"/>
      <c r="K108" s="188"/>
      <c r="L108" s="188"/>
    </row>
    <row r="109" spans="1:12" s="47" customFormat="1" ht="12.75">
      <c r="A109" s="180"/>
      <c r="B109" s="281"/>
      <c r="C109" s="186" t="s">
        <v>301</v>
      </c>
      <c r="D109" s="186" t="s">
        <v>25</v>
      </c>
      <c r="E109" s="188">
        <f t="shared" si="5"/>
        <v>200272</v>
      </c>
      <c r="F109" s="596" t="s">
        <v>25</v>
      </c>
      <c r="G109" s="223">
        <f>400272-200000</f>
        <v>200272</v>
      </c>
      <c r="H109" s="188"/>
      <c r="I109" s="188"/>
      <c r="J109" s="188"/>
      <c r="K109" s="188"/>
      <c r="L109" s="188"/>
    </row>
    <row r="110" spans="1:12" s="47" customFormat="1" ht="25.5">
      <c r="A110" s="180"/>
      <c r="B110" s="281"/>
      <c r="C110" s="195" t="s">
        <v>302</v>
      </c>
      <c r="D110" s="195" t="s">
        <v>25</v>
      </c>
      <c r="E110" s="192">
        <v>120000</v>
      </c>
      <c r="F110" s="597" t="s">
        <v>25</v>
      </c>
      <c r="G110" s="192">
        <v>120000</v>
      </c>
      <c r="H110" s="192"/>
      <c r="I110" s="192"/>
      <c r="J110" s="192"/>
      <c r="K110" s="192"/>
      <c r="L110" s="192"/>
    </row>
    <row r="111" spans="1:12" s="47" customFormat="1" ht="12.75">
      <c r="A111" s="266"/>
      <c r="B111" s="218"/>
      <c r="C111" s="198" t="s">
        <v>596</v>
      </c>
      <c r="D111" s="198">
        <v>0</v>
      </c>
      <c r="E111" s="189">
        <f t="shared" si="5"/>
        <v>150000</v>
      </c>
      <c r="F111" s="602"/>
      <c r="G111" s="189">
        <v>150000</v>
      </c>
      <c r="H111" s="189"/>
      <c r="I111" s="189"/>
      <c r="J111" s="189"/>
      <c r="K111" s="189"/>
      <c r="L111" s="189"/>
    </row>
    <row r="112" spans="1:12" s="47" customFormat="1" ht="15">
      <c r="A112" s="268">
        <v>801</v>
      </c>
      <c r="B112" s="209"/>
      <c r="C112" s="199" t="s">
        <v>303</v>
      </c>
      <c r="D112" s="199">
        <f>+D113+D131+D138+D141+D150+D152+D154+D159</f>
        <v>14876509</v>
      </c>
      <c r="E112" s="271">
        <f t="shared" si="5"/>
        <v>14474240</v>
      </c>
      <c r="F112" s="603">
        <f t="shared" si="4"/>
        <v>97.29594490212725</v>
      </c>
      <c r="G112" s="271">
        <f>+G113+G131+G138+G141+G150+G152+G154+G159</f>
        <v>14274240</v>
      </c>
      <c r="H112" s="271">
        <f>+H113+H131+H138+H141+H150+H152+H154+H159</f>
        <v>7728629</v>
      </c>
      <c r="I112" s="271">
        <f>+I113+I131+I138+I141+I150+I152+I154+I159</f>
        <v>1626694</v>
      </c>
      <c r="J112" s="271">
        <f>+J113+J131+J138+J141+J150+J152+J154+J159</f>
        <v>1397520</v>
      </c>
      <c r="K112" s="271"/>
      <c r="L112" s="271">
        <f>+L113</f>
        <v>200000</v>
      </c>
    </row>
    <row r="113" spans="1:12" s="47" customFormat="1" ht="12.75">
      <c r="A113" s="181"/>
      <c r="B113" s="208">
        <v>80101</v>
      </c>
      <c r="C113" s="187" t="s">
        <v>304</v>
      </c>
      <c r="D113" s="187">
        <f>+D114+D127</f>
        <v>8107782</v>
      </c>
      <c r="E113" s="190">
        <f t="shared" si="5"/>
        <v>7223509</v>
      </c>
      <c r="F113" s="595">
        <f t="shared" si="4"/>
        <v>89.09352767501643</v>
      </c>
      <c r="G113" s="190">
        <f>+G114</f>
        <v>7023509</v>
      </c>
      <c r="H113" s="190">
        <f>+H114</f>
        <v>4419633</v>
      </c>
      <c r="I113" s="190">
        <f>+I114</f>
        <v>931574</v>
      </c>
      <c r="J113" s="190"/>
      <c r="K113" s="190"/>
      <c r="L113" s="190">
        <f>SUM(L114:L127)</f>
        <v>200000</v>
      </c>
    </row>
    <row r="114" spans="1:12" s="47" customFormat="1" ht="12.75">
      <c r="A114" s="180"/>
      <c r="B114" s="281"/>
      <c r="C114" s="186" t="s">
        <v>305</v>
      </c>
      <c r="D114" s="186">
        <v>6787782</v>
      </c>
      <c r="E114" s="188">
        <f t="shared" si="5"/>
        <v>7023509</v>
      </c>
      <c r="F114" s="596">
        <f t="shared" si="4"/>
        <v>103.47281335788333</v>
      </c>
      <c r="G114" s="188">
        <f>SUM(G116:G121)</f>
        <v>7023509</v>
      </c>
      <c r="H114" s="188">
        <f>SUM(H116:H120)</f>
        <v>4419633</v>
      </c>
      <c r="I114" s="188">
        <f>SUM(I116:I120)</f>
        <v>931574</v>
      </c>
      <c r="J114" s="188"/>
      <c r="K114" s="188"/>
      <c r="L114" s="188"/>
    </row>
    <row r="115" spans="1:12" s="47" customFormat="1" ht="12.75">
      <c r="A115" s="180"/>
      <c r="B115" s="281"/>
      <c r="C115" s="186" t="s">
        <v>306</v>
      </c>
      <c r="D115" s="273" t="s">
        <v>25</v>
      </c>
      <c r="E115" s="188">
        <f t="shared" si="5"/>
        <v>0</v>
      </c>
      <c r="F115" s="596" t="s">
        <v>25</v>
      </c>
      <c r="G115" s="188"/>
      <c r="H115" s="188"/>
      <c r="I115" s="188"/>
      <c r="J115" s="188"/>
      <c r="K115" s="188"/>
      <c r="L115" s="188"/>
    </row>
    <row r="116" spans="1:12" s="47" customFormat="1" ht="12.75">
      <c r="A116" s="180"/>
      <c r="B116" s="281"/>
      <c r="C116" s="274" t="s">
        <v>312</v>
      </c>
      <c r="D116" s="186">
        <v>2028923</v>
      </c>
      <c r="E116" s="188">
        <f t="shared" si="5"/>
        <v>1991426</v>
      </c>
      <c r="F116" s="596">
        <f t="shared" si="4"/>
        <v>98.15187663602808</v>
      </c>
      <c r="G116" s="188">
        <v>1991426</v>
      </c>
      <c r="H116" s="188">
        <f>1216085+96600+16736</f>
        <v>1329421</v>
      </c>
      <c r="I116" s="188">
        <f>244700+33530</f>
        <v>278230</v>
      </c>
      <c r="J116" s="188"/>
      <c r="K116" s="188"/>
      <c r="L116" s="188"/>
    </row>
    <row r="117" spans="1:12" s="47" customFormat="1" ht="12.75">
      <c r="A117" s="180"/>
      <c r="B117" s="281"/>
      <c r="C117" s="274" t="s">
        <v>307</v>
      </c>
      <c r="D117" s="186">
        <v>1773560</v>
      </c>
      <c r="E117" s="188">
        <f t="shared" si="5"/>
        <v>1807346</v>
      </c>
      <c r="F117" s="596">
        <f t="shared" si="4"/>
        <v>101.904982069961</v>
      </c>
      <c r="G117" s="188">
        <v>1807346</v>
      </c>
      <c r="H117" s="188">
        <f>1085800+84100+12720</f>
        <v>1182620</v>
      </c>
      <c r="I117" s="188">
        <f>213541+29261</f>
        <v>242802</v>
      </c>
      <c r="J117" s="188"/>
      <c r="K117" s="188"/>
      <c r="L117" s="188"/>
    </row>
    <row r="118" spans="1:12" s="47" customFormat="1" ht="12.75">
      <c r="A118" s="180"/>
      <c r="B118" s="281"/>
      <c r="C118" s="274" t="s">
        <v>308</v>
      </c>
      <c r="D118" s="186">
        <v>744513</v>
      </c>
      <c r="E118" s="188">
        <f t="shared" si="5"/>
        <v>667694</v>
      </c>
      <c r="F118" s="596">
        <f t="shared" si="4"/>
        <v>89.68198003258506</v>
      </c>
      <c r="G118" s="188">
        <v>667694</v>
      </c>
      <c r="H118" s="188">
        <f>443348+38500+5130</f>
        <v>486978</v>
      </c>
      <c r="I118" s="188">
        <f>94013+12882</f>
        <v>106895</v>
      </c>
      <c r="J118" s="188"/>
      <c r="K118" s="188"/>
      <c r="L118" s="188"/>
    </row>
    <row r="119" spans="1:12" s="47" customFormat="1" ht="12.75">
      <c r="A119" s="180"/>
      <c r="B119" s="281"/>
      <c r="C119" s="274" t="s">
        <v>309</v>
      </c>
      <c r="D119" s="186">
        <v>1565145</v>
      </c>
      <c r="E119" s="188">
        <f t="shared" si="5"/>
        <v>1595015</v>
      </c>
      <c r="F119" s="596">
        <f t="shared" si="4"/>
        <v>101.90844937689478</v>
      </c>
      <c r="G119" s="188">
        <v>1595015</v>
      </c>
      <c r="H119" s="188">
        <f>911010+76800+12750</f>
        <v>1000560</v>
      </c>
      <c r="I119" s="188">
        <f>187417+25681</f>
        <v>213098</v>
      </c>
      <c r="J119" s="188"/>
      <c r="K119" s="188"/>
      <c r="L119" s="188"/>
    </row>
    <row r="120" spans="1:12" s="47" customFormat="1" ht="12.75">
      <c r="A120" s="180"/>
      <c r="B120" s="281"/>
      <c r="C120" s="274" t="s">
        <v>310</v>
      </c>
      <c r="D120" s="186">
        <v>622326</v>
      </c>
      <c r="E120" s="188">
        <f t="shared" si="5"/>
        <v>662028</v>
      </c>
      <c r="F120" s="596">
        <f t="shared" si="4"/>
        <v>106.37961454286018</v>
      </c>
      <c r="G120" s="188">
        <v>662028</v>
      </c>
      <c r="H120" s="188">
        <f>384720+30000+5334</f>
        <v>420054</v>
      </c>
      <c r="I120" s="188">
        <f>79636+10913</f>
        <v>90549</v>
      </c>
      <c r="J120" s="188"/>
      <c r="K120" s="188"/>
      <c r="L120" s="188"/>
    </row>
    <row r="121" spans="1:12" s="47" customFormat="1" ht="12.75">
      <c r="A121" s="180"/>
      <c r="B121" s="281"/>
      <c r="C121" s="372" t="s">
        <v>549</v>
      </c>
      <c r="D121" s="196">
        <v>53315</v>
      </c>
      <c r="E121" s="193">
        <f>SUM(E122:E125)</f>
        <v>300000</v>
      </c>
      <c r="F121" s="600">
        <f t="shared" si="4"/>
        <v>562.6934258651412</v>
      </c>
      <c r="G121" s="193">
        <f>SUM(G122:G127)</f>
        <v>300000</v>
      </c>
      <c r="H121" s="193"/>
      <c r="I121" s="193"/>
      <c r="J121" s="193"/>
      <c r="K121" s="193"/>
      <c r="L121" s="193"/>
    </row>
    <row r="122" spans="1:12" s="47" customFormat="1" ht="12.75">
      <c r="A122" s="180"/>
      <c r="B122" s="281"/>
      <c r="C122" s="195" t="s">
        <v>312</v>
      </c>
      <c r="D122" s="196"/>
      <c r="E122" s="192">
        <f t="shared" si="5"/>
        <v>0</v>
      </c>
      <c r="F122" s="600"/>
      <c r="G122" s="219"/>
      <c r="H122" s="193"/>
      <c r="I122" s="193"/>
      <c r="J122" s="193"/>
      <c r="K122" s="193"/>
      <c r="L122" s="193"/>
    </row>
    <row r="123" spans="1:12" s="47" customFormat="1" ht="12.75">
      <c r="A123" s="180"/>
      <c r="B123" s="281"/>
      <c r="C123" s="195" t="s">
        <v>307</v>
      </c>
      <c r="D123" s="195">
        <v>27000</v>
      </c>
      <c r="E123" s="192">
        <f t="shared" si="5"/>
        <v>0</v>
      </c>
      <c r="F123" s="600"/>
      <c r="G123" s="219"/>
      <c r="H123" s="193"/>
      <c r="I123" s="193"/>
      <c r="J123" s="193"/>
      <c r="K123" s="193"/>
      <c r="L123" s="193"/>
    </row>
    <row r="124" spans="1:12" s="47" customFormat="1" ht="12.75">
      <c r="A124" s="180"/>
      <c r="B124" s="281"/>
      <c r="C124" s="195" t="s">
        <v>309</v>
      </c>
      <c r="D124" s="195">
        <v>11000</v>
      </c>
      <c r="E124" s="192">
        <f t="shared" si="5"/>
        <v>0</v>
      </c>
      <c r="F124" s="597"/>
      <c r="G124" s="219"/>
      <c r="H124" s="192"/>
      <c r="I124" s="192"/>
      <c r="J124" s="192"/>
      <c r="K124" s="192"/>
      <c r="L124" s="192"/>
    </row>
    <row r="125" spans="1:12" s="47" customFormat="1" ht="12.75">
      <c r="A125" s="180"/>
      <c r="B125" s="281"/>
      <c r="C125" s="195" t="s">
        <v>308</v>
      </c>
      <c r="D125" s="195"/>
      <c r="E125" s="192">
        <f t="shared" si="5"/>
        <v>300000</v>
      </c>
      <c r="F125" s="597"/>
      <c r="G125" s="219">
        <v>300000</v>
      </c>
      <c r="H125" s="192"/>
      <c r="I125" s="192"/>
      <c r="J125" s="192"/>
      <c r="K125" s="192"/>
      <c r="L125" s="192"/>
    </row>
    <row r="126" spans="1:12" s="47" customFormat="1" ht="12.75">
      <c r="A126" s="180"/>
      <c r="B126" s="281"/>
      <c r="C126" s="195" t="s">
        <v>310</v>
      </c>
      <c r="D126" s="195">
        <v>15315</v>
      </c>
      <c r="E126" s="192"/>
      <c r="F126" s="597"/>
      <c r="G126" s="219"/>
      <c r="H126" s="192"/>
      <c r="I126" s="192"/>
      <c r="J126" s="192"/>
      <c r="K126" s="192"/>
      <c r="L126" s="192"/>
    </row>
    <row r="127" spans="1:12" s="47" customFormat="1" ht="12.75">
      <c r="A127" s="180"/>
      <c r="B127" s="281"/>
      <c r="C127" s="196" t="s">
        <v>423</v>
      </c>
      <c r="D127" s="196">
        <f>SUM(D128:D129)</f>
        <v>1320000</v>
      </c>
      <c r="E127" s="193">
        <f>SUM(E128:E129)</f>
        <v>200000</v>
      </c>
      <c r="F127" s="604">
        <f>SUM(F128:F129)</f>
        <v>16.666666666666664</v>
      </c>
      <c r="G127" s="196"/>
      <c r="H127" s="196"/>
      <c r="I127" s="196"/>
      <c r="J127" s="196"/>
      <c r="K127" s="196"/>
      <c r="L127" s="193">
        <f>SUM(L128:L129)</f>
        <v>200000</v>
      </c>
    </row>
    <row r="128" spans="1:12" s="47" customFormat="1" ht="25.5">
      <c r="A128" s="180"/>
      <c r="B128" s="281"/>
      <c r="C128" s="197" t="s">
        <v>343</v>
      </c>
      <c r="D128" s="197">
        <v>1200000</v>
      </c>
      <c r="E128" s="194">
        <f t="shared" si="5"/>
        <v>200000</v>
      </c>
      <c r="F128" s="601">
        <f t="shared" si="4"/>
        <v>16.666666666666664</v>
      </c>
      <c r="G128" s="194"/>
      <c r="H128" s="194"/>
      <c r="I128" s="194"/>
      <c r="J128" s="194"/>
      <c r="K128" s="194"/>
      <c r="L128" s="194">
        <v>200000</v>
      </c>
    </row>
    <row r="129" spans="1:12" s="47" customFormat="1" ht="12.75">
      <c r="A129" s="180"/>
      <c r="B129" s="281"/>
      <c r="C129" s="197" t="s">
        <v>421</v>
      </c>
      <c r="D129" s="197">
        <v>120000</v>
      </c>
      <c r="E129" s="194">
        <f t="shared" si="5"/>
        <v>0</v>
      </c>
      <c r="F129" s="601">
        <f t="shared" si="4"/>
        <v>0</v>
      </c>
      <c r="G129" s="194"/>
      <c r="H129" s="194"/>
      <c r="I129" s="194"/>
      <c r="J129" s="194"/>
      <c r="K129" s="194"/>
      <c r="L129" s="194"/>
    </row>
    <row r="130" spans="1:12" s="47" customFormat="1" ht="12.75">
      <c r="A130" s="180"/>
      <c r="B130" s="280"/>
      <c r="C130" s="195"/>
      <c r="D130" s="195"/>
      <c r="E130" s="192"/>
      <c r="F130" s="597"/>
      <c r="G130" s="192"/>
      <c r="H130" s="192"/>
      <c r="I130" s="192"/>
      <c r="J130" s="192"/>
      <c r="K130" s="192"/>
      <c r="L130" s="192"/>
    </row>
    <row r="131" spans="1:12" s="47" customFormat="1" ht="25.5">
      <c r="A131" s="181"/>
      <c r="B131" s="208">
        <v>80103</v>
      </c>
      <c r="C131" s="196" t="s">
        <v>311</v>
      </c>
      <c r="D131" s="196">
        <v>337880</v>
      </c>
      <c r="E131" s="193">
        <f t="shared" si="5"/>
        <v>394019</v>
      </c>
      <c r="F131" s="600">
        <f t="shared" si="4"/>
        <v>116.61507043920918</v>
      </c>
      <c r="G131" s="193">
        <f>SUM(G133:G137)</f>
        <v>394019</v>
      </c>
      <c r="H131" s="193">
        <f>SUM(H133:H137)</f>
        <v>301289</v>
      </c>
      <c r="I131" s="193">
        <f>SUM(I133:I137)</f>
        <v>63243</v>
      </c>
      <c r="J131" s="193"/>
      <c r="K131" s="193"/>
      <c r="L131" s="193"/>
    </row>
    <row r="132" spans="1:12" s="47" customFormat="1" ht="12.75">
      <c r="A132" s="180"/>
      <c r="B132" s="281"/>
      <c r="C132" s="373" t="s">
        <v>306</v>
      </c>
      <c r="D132" s="265" t="s">
        <v>25</v>
      </c>
      <c r="E132" s="219"/>
      <c r="F132" s="605" t="s">
        <v>25</v>
      </c>
      <c r="G132" s="219"/>
      <c r="H132" s="192"/>
      <c r="I132" s="192"/>
      <c r="J132" s="192"/>
      <c r="K132" s="192"/>
      <c r="L132" s="192"/>
    </row>
    <row r="133" spans="1:12" s="47" customFormat="1" ht="12.75">
      <c r="A133" s="180"/>
      <c r="B133" s="281"/>
      <c r="C133" s="274" t="s">
        <v>312</v>
      </c>
      <c r="D133" s="274">
        <v>84200</v>
      </c>
      <c r="E133" s="223">
        <f t="shared" si="5"/>
        <v>95480</v>
      </c>
      <c r="F133" s="606">
        <f t="shared" si="4"/>
        <v>113.39667458432304</v>
      </c>
      <c r="G133" s="223">
        <v>95480</v>
      </c>
      <c r="H133" s="188">
        <f>68901+6440</f>
        <v>75341</v>
      </c>
      <c r="I133" s="188">
        <f>13472+1846</f>
        <v>15318</v>
      </c>
      <c r="J133" s="188"/>
      <c r="K133" s="188"/>
      <c r="L133" s="188"/>
    </row>
    <row r="134" spans="1:12" s="47" customFormat="1" ht="12.75">
      <c r="A134" s="180"/>
      <c r="B134" s="281"/>
      <c r="C134" s="274" t="s">
        <v>313</v>
      </c>
      <c r="D134" s="274">
        <v>97300</v>
      </c>
      <c r="E134" s="223">
        <f t="shared" si="5"/>
        <v>99664</v>
      </c>
      <c r="F134" s="606">
        <f t="shared" si="4"/>
        <v>102.42959917780061</v>
      </c>
      <c r="G134" s="223">
        <v>99664</v>
      </c>
      <c r="H134" s="188">
        <f>71618+7100</f>
        <v>78718</v>
      </c>
      <c r="I134" s="188">
        <f>14073+1928</f>
        <v>16001</v>
      </c>
      <c r="J134" s="188"/>
      <c r="K134" s="188"/>
      <c r="L134" s="188"/>
    </row>
    <row r="135" spans="1:12" s="47" customFormat="1" ht="12.75">
      <c r="A135" s="180"/>
      <c r="B135" s="281"/>
      <c r="C135" s="274" t="s">
        <v>308</v>
      </c>
      <c r="D135" s="274">
        <v>38880</v>
      </c>
      <c r="E135" s="223">
        <f t="shared" si="5"/>
        <v>60911</v>
      </c>
      <c r="F135" s="606">
        <f t="shared" si="4"/>
        <v>156.66409465020575</v>
      </c>
      <c r="G135" s="223">
        <v>60911</v>
      </c>
      <c r="H135" s="188">
        <f>42825+2970</f>
        <v>45795</v>
      </c>
      <c r="I135" s="188">
        <f>8670+1188</f>
        <v>9858</v>
      </c>
      <c r="J135" s="188"/>
      <c r="K135" s="188"/>
      <c r="L135" s="188"/>
    </row>
    <row r="136" spans="1:12" s="47" customFormat="1" ht="12.75">
      <c r="A136" s="180"/>
      <c r="B136" s="281"/>
      <c r="C136" s="274" t="s">
        <v>309</v>
      </c>
      <c r="D136" s="274">
        <v>73100</v>
      </c>
      <c r="E136" s="223">
        <f t="shared" si="5"/>
        <v>89967</v>
      </c>
      <c r="F136" s="606">
        <f t="shared" si="4"/>
        <v>123.07387140902873</v>
      </c>
      <c r="G136" s="223">
        <v>89967</v>
      </c>
      <c r="H136" s="188">
        <f>61573+4822</f>
        <v>66395</v>
      </c>
      <c r="I136" s="188">
        <f>12640+1732</f>
        <v>14372</v>
      </c>
      <c r="J136" s="188"/>
      <c r="K136" s="188"/>
      <c r="L136" s="188"/>
    </row>
    <row r="137" spans="1:12" s="47" customFormat="1" ht="12.75">
      <c r="A137" s="180"/>
      <c r="B137" s="280"/>
      <c r="C137" s="274" t="s">
        <v>310</v>
      </c>
      <c r="D137" s="274">
        <v>44400</v>
      </c>
      <c r="E137" s="223">
        <f t="shared" si="5"/>
        <v>47997</v>
      </c>
      <c r="F137" s="606">
        <f t="shared" si="4"/>
        <v>108.10135135135135</v>
      </c>
      <c r="G137" s="223">
        <v>47997</v>
      </c>
      <c r="H137" s="188">
        <f>31940+3100</f>
        <v>35040</v>
      </c>
      <c r="I137" s="188">
        <f>6766+928</f>
        <v>7694</v>
      </c>
      <c r="J137" s="188"/>
      <c r="K137" s="188"/>
      <c r="L137" s="188"/>
    </row>
    <row r="138" spans="1:12" s="47" customFormat="1" ht="12.75">
      <c r="A138" s="180"/>
      <c r="B138" s="208">
        <v>80104</v>
      </c>
      <c r="C138" s="275" t="s">
        <v>323</v>
      </c>
      <c r="D138" s="275">
        <f>SUM(D139:D140)</f>
        <v>1152426</v>
      </c>
      <c r="E138" s="374">
        <f t="shared" si="5"/>
        <v>1370320</v>
      </c>
      <c r="F138" s="607">
        <f t="shared" si="4"/>
        <v>118.90741791663845</v>
      </c>
      <c r="G138" s="374">
        <f>SUM(G139:G140)</f>
        <v>1370320</v>
      </c>
      <c r="H138" s="190">
        <f>SUM(H139:H140)</f>
        <v>0</v>
      </c>
      <c r="I138" s="190">
        <f>SUM(I139:I140)</f>
        <v>0</v>
      </c>
      <c r="J138" s="190">
        <f>SUM(J139:J140)</f>
        <v>1270320</v>
      </c>
      <c r="K138" s="190"/>
      <c r="L138" s="190"/>
    </row>
    <row r="139" spans="1:12" s="47" customFormat="1" ht="25.5">
      <c r="A139" s="180"/>
      <c r="B139" s="281"/>
      <c r="C139" s="274" t="s">
        <v>324</v>
      </c>
      <c r="D139" s="274">
        <v>1084426</v>
      </c>
      <c r="E139" s="223">
        <f t="shared" si="5"/>
        <v>1270320</v>
      </c>
      <c r="F139" s="606">
        <f t="shared" si="4"/>
        <v>117.14215631126513</v>
      </c>
      <c r="G139" s="223">
        <f>1370320-100000</f>
        <v>1270320</v>
      </c>
      <c r="H139" s="188"/>
      <c r="I139" s="188"/>
      <c r="J139" s="188">
        <f>+G139</f>
        <v>1270320</v>
      </c>
      <c r="K139" s="188"/>
      <c r="L139" s="188"/>
    </row>
    <row r="140" spans="1:12" s="47" customFormat="1" ht="12.75">
      <c r="A140" s="180"/>
      <c r="B140" s="280"/>
      <c r="C140" s="274" t="s">
        <v>325</v>
      </c>
      <c r="D140" s="274">
        <v>68000</v>
      </c>
      <c r="E140" s="223">
        <f t="shared" si="5"/>
        <v>100000</v>
      </c>
      <c r="F140" s="606">
        <f t="shared" si="4"/>
        <v>147.05882352941177</v>
      </c>
      <c r="G140" s="223">
        <v>100000</v>
      </c>
      <c r="H140" s="188"/>
      <c r="I140" s="188"/>
      <c r="J140" s="188"/>
      <c r="K140" s="188"/>
      <c r="L140" s="188"/>
    </row>
    <row r="141" spans="1:12" s="47" customFormat="1" ht="12.75">
      <c r="A141" s="180"/>
      <c r="B141" s="208">
        <v>80110</v>
      </c>
      <c r="C141" s="275" t="s">
        <v>314</v>
      </c>
      <c r="D141" s="275">
        <v>3992950</v>
      </c>
      <c r="E141" s="374">
        <v>4185636</v>
      </c>
      <c r="F141" s="607">
        <f t="shared" si="4"/>
        <v>104.82565521732053</v>
      </c>
      <c r="G141" s="374">
        <v>4185636</v>
      </c>
      <c r="H141" s="190">
        <f>SUM(H143:H145)</f>
        <v>2650207</v>
      </c>
      <c r="I141" s="190">
        <f>SUM(I143:I145)</f>
        <v>559210</v>
      </c>
      <c r="J141" s="190"/>
      <c r="K141" s="190"/>
      <c r="L141" s="190"/>
    </row>
    <row r="142" spans="1:12" s="47" customFormat="1" ht="12.75">
      <c r="A142" s="180"/>
      <c r="B142" s="281"/>
      <c r="C142" s="274" t="s">
        <v>315</v>
      </c>
      <c r="D142" s="273" t="s">
        <v>25</v>
      </c>
      <c r="E142" s="223"/>
      <c r="F142" s="606" t="s">
        <v>25</v>
      </c>
      <c r="G142" s="223"/>
      <c r="H142" s="188"/>
      <c r="I142" s="188"/>
      <c r="J142" s="188"/>
      <c r="K142" s="188"/>
      <c r="L142" s="188"/>
    </row>
    <row r="143" spans="1:12" s="47" customFormat="1" ht="12.75">
      <c r="A143" s="180"/>
      <c r="B143" s="281"/>
      <c r="C143" s="274" t="s">
        <v>316</v>
      </c>
      <c r="D143" s="274">
        <v>840679</v>
      </c>
      <c r="E143" s="223">
        <f t="shared" si="5"/>
        <v>828065</v>
      </c>
      <c r="F143" s="606">
        <f t="shared" si="4"/>
        <v>98.49954620015488</v>
      </c>
      <c r="G143" s="223">
        <v>828065</v>
      </c>
      <c r="H143" s="188">
        <f>467051+41510+7400</f>
        <v>515961</v>
      </c>
      <c r="I143" s="188">
        <f>96193+13182</f>
        <v>109375</v>
      </c>
      <c r="J143" s="188"/>
      <c r="K143" s="188"/>
      <c r="L143" s="188"/>
    </row>
    <row r="144" spans="1:12" s="47" customFormat="1" ht="12.75">
      <c r="A144" s="180"/>
      <c r="B144" s="281"/>
      <c r="C144" s="274" t="s">
        <v>317</v>
      </c>
      <c r="D144" s="274">
        <v>2288666</v>
      </c>
      <c r="E144" s="223">
        <f t="shared" si="5"/>
        <v>2370188</v>
      </c>
      <c r="F144" s="606">
        <f t="shared" si="4"/>
        <v>103.5619876382137</v>
      </c>
      <c r="G144" s="223">
        <v>2370188</v>
      </c>
      <c r="H144" s="188">
        <f>1490312+120000+24874</f>
        <v>1635186</v>
      </c>
      <c r="I144" s="188">
        <f>299467+41035</f>
        <v>340502</v>
      </c>
      <c r="J144" s="188"/>
      <c r="K144" s="188"/>
      <c r="L144" s="188"/>
    </row>
    <row r="145" spans="1:12" s="47" customFormat="1" ht="12.75">
      <c r="A145" s="180"/>
      <c r="B145" s="281"/>
      <c r="C145" s="274" t="s">
        <v>318</v>
      </c>
      <c r="D145" s="274">
        <v>772605</v>
      </c>
      <c r="E145" s="223">
        <f t="shared" si="5"/>
        <v>802383</v>
      </c>
      <c r="F145" s="606">
        <f t="shared" si="4"/>
        <v>103.85423340516824</v>
      </c>
      <c r="G145" s="223">
        <v>802383</v>
      </c>
      <c r="H145" s="188">
        <f>455430+38500+5130</f>
        <v>499060</v>
      </c>
      <c r="I145" s="188">
        <f>96157+13176</f>
        <v>109333</v>
      </c>
      <c r="J145" s="188"/>
      <c r="K145" s="188"/>
      <c r="L145" s="188"/>
    </row>
    <row r="146" spans="1:12" s="47" customFormat="1" ht="12.75">
      <c r="A146" s="180"/>
      <c r="B146" s="281"/>
      <c r="C146" s="275" t="s">
        <v>549</v>
      </c>
      <c r="D146" s="275">
        <v>91000</v>
      </c>
      <c r="E146" s="374">
        <v>185000</v>
      </c>
      <c r="F146" s="607">
        <f t="shared" si="4"/>
        <v>203.2967032967033</v>
      </c>
      <c r="G146" s="374">
        <v>185000</v>
      </c>
      <c r="H146" s="190"/>
      <c r="I146" s="190"/>
      <c r="J146" s="190"/>
      <c r="K146" s="190"/>
      <c r="L146" s="190"/>
    </row>
    <row r="147" spans="1:12" s="47" customFormat="1" ht="12.75">
      <c r="A147" s="180"/>
      <c r="B147" s="281"/>
      <c r="C147" s="274" t="s">
        <v>316</v>
      </c>
      <c r="D147" s="274">
        <v>47000</v>
      </c>
      <c r="E147" s="223">
        <f t="shared" si="5"/>
        <v>100000</v>
      </c>
      <c r="F147" s="606"/>
      <c r="G147" s="223">
        <f>200000-100000</f>
        <v>100000</v>
      </c>
      <c r="H147" s="188"/>
      <c r="I147" s="188"/>
      <c r="J147" s="188"/>
      <c r="K147" s="188"/>
      <c r="L147" s="188"/>
    </row>
    <row r="148" spans="1:12" s="47" customFormat="1" ht="12.75">
      <c r="A148" s="180"/>
      <c r="B148" s="281"/>
      <c r="C148" s="274" t="s">
        <v>317</v>
      </c>
      <c r="D148" s="274">
        <v>30000</v>
      </c>
      <c r="E148" s="223">
        <v>85000</v>
      </c>
      <c r="F148" s="606"/>
      <c r="G148" s="223">
        <v>85000</v>
      </c>
      <c r="H148" s="188"/>
      <c r="I148" s="188"/>
      <c r="J148" s="188"/>
      <c r="K148" s="188"/>
      <c r="L148" s="188"/>
    </row>
    <row r="149" spans="1:12" s="47" customFormat="1" ht="12.75">
      <c r="A149" s="180"/>
      <c r="B149" s="280"/>
      <c r="C149" s="274" t="s">
        <v>318</v>
      </c>
      <c r="D149" s="274">
        <v>14000</v>
      </c>
      <c r="E149" s="223"/>
      <c r="F149" s="606"/>
      <c r="G149" s="223"/>
      <c r="H149" s="188"/>
      <c r="I149" s="188"/>
      <c r="J149" s="188"/>
      <c r="K149" s="188"/>
      <c r="L149" s="188"/>
    </row>
    <row r="150" spans="1:12" s="47" customFormat="1" ht="12.75">
      <c r="A150" s="181"/>
      <c r="B150" s="208">
        <v>80113</v>
      </c>
      <c r="C150" s="275" t="s">
        <v>319</v>
      </c>
      <c r="D150" s="275">
        <f>+D151</f>
        <v>120000</v>
      </c>
      <c r="E150" s="374">
        <f t="shared" si="5"/>
        <v>120000</v>
      </c>
      <c r="F150" s="607">
        <f t="shared" si="4"/>
        <v>100</v>
      </c>
      <c r="G150" s="374">
        <f>+G151</f>
        <v>120000</v>
      </c>
      <c r="H150" s="190">
        <f>+H151</f>
        <v>0</v>
      </c>
      <c r="I150" s="190">
        <f>+I151</f>
        <v>0</v>
      </c>
      <c r="J150" s="190"/>
      <c r="K150" s="190"/>
      <c r="L150" s="190"/>
    </row>
    <row r="151" spans="1:12" s="47" customFormat="1" ht="12.75">
      <c r="A151" s="180"/>
      <c r="B151" s="280"/>
      <c r="C151" s="274" t="s">
        <v>320</v>
      </c>
      <c r="D151" s="274">
        <v>120000</v>
      </c>
      <c r="E151" s="223">
        <f t="shared" si="5"/>
        <v>120000</v>
      </c>
      <c r="F151" s="606">
        <f t="shared" si="4"/>
        <v>100</v>
      </c>
      <c r="G151" s="223">
        <f>25000+95000</f>
        <v>120000</v>
      </c>
      <c r="H151" s="188"/>
      <c r="I151" s="188"/>
      <c r="J151" s="188"/>
      <c r="K151" s="188"/>
      <c r="L151" s="188"/>
    </row>
    <row r="152" spans="1:12" s="47" customFormat="1" ht="25.5">
      <c r="A152" s="180"/>
      <c r="B152" s="208">
        <v>80114</v>
      </c>
      <c r="C152" s="187" t="s">
        <v>321</v>
      </c>
      <c r="D152" s="187">
        <f>+D153</f>
        <v>478430</v>
      </c>
      <c r="E152" s="190">
        <f t="shared" si="5"/>
        <v>579157</v>
      </c>
      <c r="F152" s="595">
        <f aca="true" t="shared" si="7" ref="F152:F214">+E152/D152*100</f>
        <v>121.05365466212403</v>
      </c>
      <c r="G152" s="190">
        <f>+G153</f>
        <v>579157</v>
      </c>
      <c r="H152" s="190">
        <f>+H153</f>
        <v>357500</v>
      </c>
      <c r="I152" s="190">
        <f>+I153</f>
        <v>72667</v>
      </c>
      <c r="J152" s="190"/>
      <c r="K152" s="190"/>
      <c r="L152" s="190"/>
    </row>
    <row r="153" spans="1:12" s="47" customFormat="1" ht="12.75">
      <c r="A153" s="180"/>
      <c r="B153" s="280"/>
      <c r="C153" s="186" t="s">
        <v>322</v>
      </c>
      <c r="D153" s="186">
        <v>478430</v>
      </c>
      <c r="E153" s="188">
        <f t="shared" si="5"/>
        <v>579157</v>
      </c>
      <c r="F153" s="596">
        <f t="shared" si="7"/>
        <v>121.05365466212403</v>
      </c>
      <c r="G153" s="188">
        <v>579157</v>
      </c>
      <c r="H153" s="188">
        <f>331500+26000</f>
        <v>357500</v>
      </c>
      <c r="I153" s="188">
        <f>63910+8757</f>
        <v>72667</v>
      </c>
      <c r="J153" s="188"/>
      <c r="K153" s="188"/>
      <c r="L153" s="188"/>
    </row>
    <row r="154" spans="1:12" s="47" customFormat="1" ht="12.75">
      <c r="A154" s="181"/>
      <c r="B154" s="208">
        <v>80195</v>
      </c>
      <c r="C154" s="187" t="s">
        <v>278</v>
      </c>
      <c r="D154" s="187">
        <f>SUM(D155:D158)</f>
        <v>579841</v>
      </c>
      <c r="E154" s="190">
        <f t="shared" si="5"/>
        <v>474399</v>
      </c>
      <c r="F154" s="595">
        <f t="shared" si="7"/>
        <v>81.81535972792543</v>
      </c>
      <c r="G154" s="190">
        <f>SUM(G155:G158)</f>
        <v>474399</v>
      </c>
      <c r="H154" s="190">
        <f>SUM(H155:H158)</f>
        <v>0</v>
      </c>
      <c r="I154" s="190">
        <f>SUM(I155:I158)</f>
        <v>0</v>
      </c>
      <c r="J154" s="190"/>
      <c r="K154" s="190"/>
      <c r="L154" s="188"/>
    </row>
    <row r="155" spans="1:12" s="47" customFormat="1" ht="25.5">
      <c r="A155" s="180"/>
      <c r="B155" s="281"/>
      <c r="C155" s="186" t="s">
        <v>544</v>
      </c>
      <c r="D155" s="186">
        <f>2000+3100+579841-577581</f>
        <v>7360</v>
      </c>
      <c r="E155" s="188">
        <f t="shared" si="5"/>
        <v>2500</v>
      </c>
      <c r="F155" s="596">
        <f t="shared" si="7"/>
        <v>33.96739130434783</v>
      </c>
      <c r="G155" s="188">
        <v>2500</v>
      </c>
      <c r="H155" s="188"/>
      <c r="I155" s="188"/>
      <c r="J155" s="188"/>
      <c r="K155" s="188"/>
      <c r="L155" s="188"/>
    </row>
    <row r="156" spans="1:12" s="47" customFormat="1" ht="12.75">
      <c r="A156" s="180"/>
      <c r="B156" s="281"/>
      <c r="C156" s="186" t="s">
        <v>543</v>
      </c>
      <c r="D156" s="186">
        <v>475901</v>
      </c>
      <c r="E156" s="188">
        <v>306899</v>
      </c>
      <c r="F156" s="596">
        <f>E156/D156*100</f>
        <v>64.48799225048907</v>
      </c>
      <c r="G156" s="188">
        <v>306899</v>
      </c>
      <c r="H156" s="188"/>
      <c r="I156" s="188"/>
      <c r="J156" s="188"/>
      <c r="K156" s="188"/>
      <c r="L156" s="188"/>
    </row>
    <row r="157" spans="1:12" s="47" customFormat="1" ht="12.75">
      <c r="A157" s="180"/>
      <c r="B157" s="281"/>
      <c r="C157" s="186" t="s">
        <v>515</v>
      </c>
      <c r="D157" s="186"/>
      <c r="E157" s="188">
        <f t="shared" si="5"/>
        <v>50000</v>
      </c>
      <c r="F157" s="596"/>
      <c r="G157" s="188">
        <f>150000-100000</f>
        <v>50000</v>
      </c>
      <c r="H157" s="188"/>
      <c r="I157" s="188"/>
      <c r="J157" s="188"/>
      <c r="K157" s="188"/>
      <c r="L157" s="188"/>
    </row>
    <row r="158" spans="1:12" s="47" customFormat="1" ht="25.5">
      <c r="A158" s="180"/>
      <c r="B158" s="280"/>
      <c r="C158" s="186" t="s">
        <v>597</v>
      </c>
      <c r="D158" s="186">
        <v>96580</v>
      </c>
      <c r="E158" s="188">
        <f t="shared" si="5"/>
        <v>115000</v>
      </c>
      <c r="F158" s="596">
        <f t="shared" si="7"/>
        <v>119.07227169186167</v>
      </c>
      <c r="G158" s="188">
        <f>10120+11960+9200+45080+14720+16560+7360</f>
        <v>115000</v>
      </c>
      <c r="H158" s="188"/>
      <c r="I158" s="188"/>
      <c r="J158" s="188"/>
      <c r="K158" s="188"/>
      <c r="L158" s="188"/>
    </row>
    <row r="159" spans="1:12" s="47" customFormat="1" ht="12.75">
      <c r="A159" s="181"/>
      <c r="B159" s="208">
        <v>80197</v>
      </c>
      <c r="C159" s="187" t="s">
        <v>15</v>
      </c>
      <c r="D159" s="187">
        <f>+D160</f>
        <v>107200</v>
      </c>
      <c r="E159" s="190">
        <f t="shared" si="5"/>
        <v>127200</v>
      </c>
      <c r="F159" s="595">
        <f t="shared" si="7"/>
        <v>118.65671641791045</v>
      </c>
      <c r="G159" s="190">
        <f>+G160</f>
        <v>127200</v>
      </c>
      <c r="H159" s="190">
        <f>+H160</f>
        <v>0</v>
      </c>
      <c r="I159" s="190">
        <f>+I160</f>
        <v>0</v>
      </c>
      <c r="J159" s="190">
        <f>+J160</f>
        <v>127200</v>
      </c>
      <c r="K159" s="190"/>
      <c r="L159" s="190"/>
    </row>
    <row r="160" spans="1:12" s="47" customFormat="1" ht="12.75">
      <c r="A160" s="266"/>
      <c r="B160" s="218"/>
      <c r="C160" s="195" t="s">
        <v>326</v>
      </c>
      <c r="D160" s="195">
        <v>107200</v>
      </c>
      <c r="E160" s="192">
        <f aca="true" t="shared" si="8" ref="E160:E225">+G160+L160</f>
        <v>127200</v>
      </c>
      <c r="F160" s="597">
        <f t="shared" si="7"/>
        <v>118.65671641791045</v>
      </c>
      <c r="G160" s="192">
        <f>+J160</f>
        <v>127200</v>
      </c>
      <c r="H160" s="192"/>
      <c r="I160" s="192"/>
      <c r="J160" s="192">
        <v>127200</v>
      </c>
      <c r="K160" s="192"/>
      <c r="L160" s="192"/>
    </row>
    <row r="161" spans="1:12" s="47" customFormat="1" ht="15.75">
      <c r="A161" s="361">
        <v>851</v>
      </c>
      <c r="B161" s="359"/>
      <c r="C161" s="360" t="s">
        <v>327</v>
      </c>
      <c r="D161" s="360">
        <v>896683</v>
      </c>
      <c r="E161" s="362">
        <f t="shared" si="8"/>
        <v>892866</v>
      </c>
      <c r="F161" s="594">
        <f t="shared" si="7"/>
        <v>99.57432002167991</v>
      </c>
      <c r="G161" s="362">
        <f>+G162+G164+G167+G169</f>
        <v>892866</v>
      </c>
      <c r="H161" s="362">
        <f>+H162+H164+H167+H169</f>
        <v>0</v>
      </c>
      <c r="I161" s="362">
        <f>+I162+I164+I167+I169</f>
        <v>0</v>
      </c>
      <c r="J161" s="362">
        <f>+J162+J164+J167+J169</f>
        <v>507866</v>
      </c>
      <c r="K161" s="362"/>
      <c r="L161" s="362">
        <v>0</v>
      </c>
    </row>
    <row r="162" spans="1:12" s="47" customFormat="1" ht="15">
      <c r="A162" s="216"/>
      <c r="B162" s="277">
        <v>85111</v>
      </c>
      <c r="C162" s="276" t="s">
        <v>459</v>
      </c>
      <c r="D162" s="276">
        <f>+D163</f>
        <v>526683</v>
      </c>
      <c r="E162" s="375">
        <f t="shared" si="8"/>
        <v>507866</v>
      </c>
      <c r="F162" s="608">
        <f t="shared" si="7"/>
        <v>96.42726269881504</v>
      </c>
      <c r="G162" s="375">
        <f>+G163</f>
        <v>507866</v>
      </c>
      <c r="H162" s="375">
        <f>+H163</f>
        <v>0</v>
      </c>
      <c r="I162" s="375">
        <f>+I163</f>
        <v>0</v>
      </c>
      <c r="J162" s="375">
        <v>507866</v>
      </c>
      <c r="K162" s="375"/>
      <c r="L162" s="375"/>
    </row>
    <row r="163" spans="1:12" s="47" customFormat="1" ht="12.75">
      <c r="A163" s="180"/>
      <c r="B163" s="205"/>
      <c r="C163" s="186" t="s">
        <v>460</v>
      </c>
      <c r="D163" s="186">
        <v>526683</v>
      </c>
      <c r="E163" s="188">
        <f t="shared" si="8"/>
        <v>507866</v>
      </c>
      <c r="F163" s="596">
        <f t="shared" si="7"/>
        <v>96.42726269881504</v>
      </c>
      <c r="G163" s="188">
        <v>507866</v>
      </c>
      <c r="H163" s="190"/>
      <c r="I163" s="190"/>
      <c r="J163" s="188">
        <v>507866</v>
      </c>
      <c r="K163" s="190"/>
      <c r="L163" s="190"/>
    </row>
    <row r="164" spans="1:12" s="47" customFormat="1" ht="12.75">
      <c r="A164" s="180"/>
      <c r="B164" s="208">
        <v>85121</v>
      </c>
      <c r="C164" s="187" t="s">
        <v>328</v>
      </c>
      <c r="D164" s="187">
        <f>SUM(D165:D166)</f>
        <v>115000</v>
      </c>
      <c r="E164" s="190">
        <f t="shared" si="8"/>
        <v>100000</v>
      </c>
      <c r="F164" s="595">
        <f t="shared" si="7"/>
        <v>86.95652173913044</v>
      </c>
      <c r="G164" s="190">
        <f>SUM(G165:G166)</f>
        <v>100000</v>
      </c>
      <c r="H164" s="190"/>
      <c r="I164" s="190"/>
      <c r="J164" s="190"/>
      <c r="K164" s="190"/>
      <c r="L164" s="190"/>
    </row>
    <row r="165" spans="1:12" s="47" customFormat="1" ht="12.75">
      <c r="A165" s="180"/>
      <c r="B165" s="207"/>
      <c r="C165" s="186" t="s">
        <v>523</v>
      </c>
      <c r="D165" s="186">
        <v>100000</v>
      </c>
      <c r="E165" s="188">
        <f t="shared" si="8"/>
        <v>100000</v>
      </c>
      <c r="F165" s="596">
        <f t="shared" si="7"/>
        <v>100</v>
      </c>
      <c r="G165" s="188">
        <f>180000-80000</f>
        <v>100000</v>
      </c>
      <c r="H165" s="190"/>
      <c r="I165" s="190"/>
      <c r="J165" s="190"/>
      <c r="K165" s="190"/>
      <c r="L165" s="190"/>
    </row>
    <row r="166" spans="1:12" s="47" customFormat="1" ht="12.75">
      <c r="A166" s="180"/>
      <c r="B166" s="205"/>
      <c r="C166" s="186" t="s">
        <v>329</v>
      </c>
      <c r="D166" s="186">
        <v>15000</v>
      </c>
      <c r="E166" s="188">
        <f t="shared" si="8"/>
        <v>0</v>
      </c>
      <c r="F166" s="596">
        <f t="shared" si="7"/>
        <v>0</v>
      </c>
      <c r="G166" s="188"/>
      <c r="H166" s="188"/>
      <c r="I166" s="188"/>
      <c r="J166" s="188"/>
      <c r="K166" s="188"/>
      <c r="L166" s="188"/>
    </row>
    <row r="167" spans="1:12" s="47" customFormat="1" ht="12.75">
      <c r="A167" s="180"/>
      <c r="B167" s="208">
        <v>85153</v>
      </c>
      <c r="C167" s="187" t="s">
        <v>336</v>
      </c>
      <c r="D167" s="187">
        <f>+D168</f>
        <v>48000</v>
      </c>
      <c r="E167" s="190">
        <f t="shared" si="8"/>
        <v>60000</v>
      </c>
      <c r="F167" s="595">
        <f t="shared" si="7"/>
        <v>125</v>
      </c>
      <c r="G167" s="190">
        <f>+G168</f>
        <v>60000</v>
      </c>
      <c r="H167" s="190">
        <f>+H168</f>
        <v>0</v>
      </c>
      <c r="I167" s="190"/>
      <c r="J167" s="190"/>
      <c r="K167" s="190"/>
      <c r="L167" s="190"/>
    </row>
    <row r="168" spans="1:12" s="47" customFormat="1" ht="25.5">
      <c r="A168" s="180"/>
      <c r="B168" s="205"/>
      <c r="C168" s="186" t="s">
        <v>412</v>
      </c>
      <c r="D168" s="186">
        <v>48000</v>
      </c>
      <c r="E168" s="188">
        <f t="shared" si="8"/>
        <v>60000</v>
      </c>
      <c r="F168" s="596">
        <f t="shared" si="7"/>
        <v>125</v>
      </c>
      <c r="G168" s="188">
        <v>60000</v>
      </c>
      <c r="H168" s="188"/>
      <c r="I168" s="188"/>
      <c r="J168" s="188"/>
      <c r="K168" s="188"/>
      <c r="L168" s="188"/>
    </row>
    <row r="169" spans="1:12" s="47" customFormat="1" ht="12.75">
      <c r="A169" s="180"/>
      <c r="B169" s="208">
        <v>85154</v>
      </c>
      <c r="C169" s="187" t="s">
        <v>337</v>
      </c>
      <c r="D169" s="187">
        <f>SUM(D170:D172)</f>
        <v>207000</v>
      </c>
      <c r="E169" s="190">
        <f t="shared" si="8"/>
        <v>225000</v>
      </c>
      <c r="F169" s="595">
        <f t="shared" si="7"/>
        <v>108.69565217391303</v>
      </c>
      <c r="G169" s="190">
        <f>SUM(G170:G172)</f>
        <v>225000</v>
      </c>
      <c r="H169" s="190">
        <f>+H170</f>
        <v>0</v>
      </c>
      <c r="I169" s="190"/>
      <c r="J169" s="190"/>
      <c r="K169" s="190"/>
      <c r="L169" s="190"/>
    </row>
    <row r="170" spans="1:12" s="47" customFormat="1" ht="25.5">
      <c r="A170" s="180"/>
      <c r="B170" s="281"/>
      <c r="C170" s="186" t="s">
        <v>413</v>
      </c>
      <c r="D170" s="186">
        <v>207000</v>
      </c>
      <c r="E170" s="188">
        <f t="shared" si="8"/>
        <v>225000</v>
      </c>
      <c r="F170" s="596">
        <f t="shared" si="7"/>
        <v>108.69565217391303</v>
      </c>
      <c r="G170" s="188">
        <f>254000-29000</f>
        <v>225000</v>
      </c>
      <c r="H170" s="188"/>
      <c r="I170" s="188"/>
      <c r="J170" s="188"/>
      <c r="K170" s="188"/>
      <c r="L170" s="188"/>
    </row>
    <row r="171" spans="1:12" s="47" customFormat="1" ht="12.75">
      <c r="A171" s="180"/>
      <c r="B171" s="281"/>
      <c r="C171" s="186" t="s">
        <v>519</v>
      </c>
      <c r="D171" s="186"/>
      <c r="E171" s="188">
        <f t="shared" si="8"/>
        <v>0</v>
      </c>
      <c r="F171" s="596"/>
      <c r="G171" s="188">
        <f>350000-350000</f>
        <v>0</v>
      </c>
      <c r="H171" s="188"/>
      <c r="I171" s="188"/>
      <c r="J171" s="188"/>
      <c r="K171" s="188"/>
      <c r="L171" s="188"/>
    </row>
    <row r="172" spans="1:12" s="47" customFormat="1" ht="25.5">
      <c r="A172" s="180"/>
      <c r="B172" s="281"/>
      <c r="C172" s="186" t="s">
        <v>520</v>
      </c>
      <c r="D172" s="186"/>
      <c r="E172" s="188">
        <f t="shared" si="8"/>
        <v>0</v>
      </c>
      <c r="F172" s="596"/>
      <c r="G172" s="188">
        <f>100000-100000</f>
        <v>0</v>
      </c>
      <c r="H172" s="188"/>
      <c r="I172" s="188"/>
      <c r="J172" s="188"/>
      <c r="K172" s="188"/>
      <c r="L172" s="188"/>
    </row>
    <row r="173" spans="1:12" s="47" customFormat="1" ht="15.75">
      <c r="A173" s="361">
        <v>852</v>
      </c>
      <c r="B173" s="359"/>
      <c r="C173" s="360" t="s">
        <v>338</v>
      </c>
      <c r="D173" s="360">
        <f>+D174+D176+D177+D178+D180+D182+D184</f>
        <v>2645038</v>
      </c>
      <c r="E173" s="362">
        <f t="shared" si="8"/>
        <v>2646880</v>
      </c>
      <c r="F173" s="594">
        <f t="shared" si="7"/>
        <v>100.0696398312614</v>
      </c>
      <c r="G173" s="362">
        <f>G174+G176+G177+G178+G180+G182+G184</f>
        <v>2646880</v>
      </c>
      <c r="H173" s="362">
        <f>+H176+H177+H178+H180+H182+H184</f>
        <v>393757</v>
      </c>
      <c r="I173" s="362">
        <f>+I176+I177+I178+I180+I182+I184</f>
        <v>69042</v>
      </c>
      <c r="J173" s="362"/>
      <c r="K173" s="362"/>
      <c r="L173" s="362">
        <v>0</v>
      </c>
    </row>
    <row r="174" spans="1:12" s="47" customFormat="1" ht="12.75">
      <c r="A174" s="180"/>
      <c r="B174" s="208">
        <v>85202</v>
      </c>
      <c r="C174" s="187" t="s">
        <v>339</v>
      </c>
      <c r="D174" s="187">
        <f>+D175</f>
        <v>105867</v>
      </c>
      <c r="E174" s="190">
        <f t="shared" si="8"/>
        <v>147624</v>
      </c>
      <c r="F174" s="595">
        <f t="shared" si="7"/>
        <v>139.44288588512</v>
      </c>
      <c r="G174" s="190">
        <f>+G175</f>
        <v>147624</v>
      </c>
      <c r="H174" s="190"/>
      <c r="I174" s="190"/>
      <c r="J174" s="190"/>
      <c r="K174" s="190"/>
      <c r="L174" s="190"/>
    </row>
    <row r="175" spans="1:12" s="47" customFormat="1" ht="12.75">
      <c r="A175" s="180"/>
      <c r="B175" s="280"/>
      <c r="C175" s="186" t="s">
        <v>340</v>
      </c>
      <c r="D175" s="186">
        <v>105867</v>
      </c>
      <c r="E175" s="188">
        <f t="shared" si="8"/>
        <v>147624</v>
      </c>
      <c r="F175" s="596">
        <f t="shared" si="7"/>
        <v>139.44288588512</v>
      </c>
      <c r="G175" s="188">
        <v>147624</v>
      </c>
      <c r="H175" s="188"/>
      <c r="I175" s="188"/>
      <c r="J175" s="188"/>
      <c r="K175" s="188"/>
      <c r="L175" s="188"/>
    </row>
    <row r="176" spans="1:12" s="47" customFormat="1" ht="12.75">
      <c r="A176" s="180"/>
      <c r="B176" s="206">
        <v>85214</v>
      </c>
      <c r="C176" s="187" t="s">
        <v>363</v>
      </c>
      <c r="D176" s="187">
        <v>496000</v>
      </c>
      <c r="E176" s="190">
        <v>474000</v>
      </c>
      <c r="F176" s="595">
        <f t="shared" si="7"/>
        <v>95.56451612903226</v>
      </c>
      <c r="G176" s="190">
        <v>474000</v>
      </c>
      <c r="H176" s="190"/>
      <c r="I176" s="190"/>
      <c r="J176" s="190"/>
      <c r="K176" s="190"/>
      <c r="L176" s="190"/>
    </row>
    <row r="177" spans="1:12" s="47" customFormat="1" ht="12.75">
      <c r="A177" s="180"/>
      <c r="B177" s="206">
        <v>85215</v>
      </c>
      <c r="C177" s="187" t="s">
        <v>364</v>
      </c>
      <c r="D177" s="187">
        <v>750000</v>
      </c>
      <c r="E177" s="190">
        <f t="shared" si="8"/>
        <v>600000</v>
      </c>
      <c r="F177" s="595">
        <f t="shared" si="7"/>
        <v>80</v>
      </c>
      <c r="G177" s="190">
        <v>600000</v>
      </c>
      <c r="H177" s="190"/>
      <c r="I177" s="190"/>
      <c r="J177" s="190"/>
      <c r="K177" s="190"/>
      <c r="L177" s="190"/>
    </row>
    <row r="178" spans="1:12" s="47" customFormat="1" ht="12.75">
      <c r="A178" s="180"/>
      <c r="B178" s="208">
        <v>85219</v>
      </c>
      <c r="C178" s="187" t="s">
        <v>365</v>
      </c>
      <c r="D178" s="187">
        <f>+D179</f>
        <v>546543</v>
      </c>
      <c r="E178" s="190">
        <f t="shared" si="8"/>
        <v>554806</v>
      </c>
      <c r="F178" s="595">
        <f t="shared" si="7"/>
        <v>101.51186640392432</v>
      </c>
      <c r="G178" s="190">
        <f>+G179</f>
        <v>554806</v>
      </c>
      <c r="H178" s="190">
        <f>+H179</f>
        <v>393757</v>
      </c>
      <c r="I178" s="190">
        <f>+I179</f>
        <v>69042</v>
      </c>
      <c r="J178" s="190"/>
      <c r="K178" s="190"/>
      <c r="L178" s="190"/>
    </row>
    <row r="179" spans="1:12" s="47" customFormat="1" ht="12.75">
      <c r="A179" s="180"/>
      <c r="B179" s="280"/>
      <c r="C179" s="186" t="s">
        <v>366</v>
      </c>
      <c r="D179" s="186">
        <v>546543</v>
      </c>
      <c r="E179" s="188">
        <f t="shared" si="8"/>
        <v>554806</v>
      </c>
      <c r="F179" s="596">
        <f t="shared" si="7"/>
        <v>101.51186640392432</v>
      </c>
      <c r="G179" s="188">
        <v>554806</v>
      </c>
      <c r="H179" s="188">
        <f>362871+27286+3600</f>
        <v>393757</v>
      </c>
      <c r="I179" s="188">
        <f>59592+9450</f>
        <v>69042</v>
      </c>
      <c r="J179" s="188"/>
      <c r="K179" s="188"/>
      <c r="L179" s="188"/>
    </row>
    <row r="180" spans="1:12" s="47" customFormat="1" ht="25.5">
      <c r="A180" s="180"/>
      <c r="B180" s="208">
        <v>85220</v>
      </c>
      <c r="C180" s="187" t="s">
        <v>530</v>
      </c>
      <c r="D180" s="187">
        <v>11652</v>
      </c>
      <c r="E180" s="190">
        <f t="shared" si="8"/>
        <v>14000</v>
      </c>
      <c r="F180" s="595">
        <f t="shared" si="7"/>
        <v>120.1510470305527</v>
      </c>
      <c r="G180" s="190">
        <f>+G181</f>
        <v>14000</v>
      </c>
      <c r="H180" s="190"/>
      <c r="I180" s="190"/>
      <c r="J180" s="190"/>
      <c r="K180" s="190"/>
      <c r="L180" s="190"/>
    </row>
    <row r="181" spans="1:12" s="47" customFormat="1" ht="12.75">
      <c r="A181" s="180"/>
      <c r="B181" s="280"/>
      <c r="C181" s="186" t="s">
        <v>531</v>
      </c>
      <c r="D181" s="186">
        <v>11652</v>
      </c>
      <c r="E181" s="188">
        <f t="shared" si="8"/>
        <v>14000</v>
      </c>
      <c r="F181" s="596">
        <f t="shared" si="7"/>
        <v>120.1510470305527</v>
      </c>
      <c r="G181" s="188">
        <v>14000</v>
      </c>
      <c r="H181" s="188"/>
      <c r="I181" s="188"/>
      <c r="J181" s="188"/>
      <c r="K181" s="188"/>
      <c r="L181" s="188"/>
    </row>
    <row r="182" spans="1:12" s="47" customFormat="1" ht="12.75">
      <c r="A182" s="180"/>
      <c r="B182" s="208">
        <v>85228</v>
      </c>
      <c r="C182" s="187" t="s">
        <v>367</v>
      </c>
      <c r="D182" s="187">
        <v>459576</v>
      </c>
      <c r="E182" s="190">
        <f t="shared" si="8"/>
        <v>620450</v>
      </c>
      <c r="F182" s="595">
        <f t="shared" si="7"/>
        <v>135.0048740578272</v>
      </c>
      <c r="G182" s="190">
        <f>+G183</f>
        <v>620450</v>
      </c>
      <c r="H182" s="190">
        <f>+H183</f>
        <v>0</v>
      </c>
      <c r="I182" s="190">
        <f>+I183</f>
        <v>0</v>
      </c>
      <c r="J182" s="190"/>
      <c r="K182" s="190"/>
      <c r="L182" s="190"/>
    </row>
    <row r="183" spans="1:12" s="47" customFormat="1" ht="12.75">
      <c r="A183" s="180"/>
      <c r="B183" s="280"/>
      <c r="C183" s="186" t="s">
        <v>368</v>
      </c>
      <c r="D183" s="186">
        <v>459576</v>
      </c>
      <c r="E183" s="188">
        <f t="shared" si="8"/>
        <v>620450</v>
      </c>
      <c r="F183" s="596">
        <f t="shared" si="7"/>
        <v>135.0048740578272</v>
      </c>
      <c r="G183" s="188">
        <v>620450</v>
      </c>
      <c r="H183" s="188"/>
      <c r="I183" s="188"/>
      <c r="J183" s="188"/>
      <c r="K183" s="188"/>
      <c r="L183" s="188"/>
    </row>
    <row r="184" spans="1:12" s="47" customFormat="1" ht="12.75">
      <c r="A184" s="180"/>
      <c r="B184" s="208">
        <v>85295</v>
      </c>
      <c r="C184" s="187" t="s">
        <v>278</v>
      </c>
      <c r="D184" s="187">
        <f>+D185</f>
        <v>275400</v>
      </c>
      <c r="E184" s="190">
        <v>236000</v>
      </c>
      <c r="F184" s="595">
        <f t="shared" si="7"/>
        <v>85.69353667392883</v>
      </c>
      <c r="G184" s="190">
        <v>236000</v>
      </c>
      <c r="H184" s="190"/>
      <c r="I184" s="190"/>
      <c r="J184" s="190"/>
      <c r="K184" s="190"/>
      <c r="L184" s="190"/>
    </row>
    <row r="185" spans="1:12" s="47" customFormat="1" ht="12.75">
      <c r="A185" s="180"/>
      <c r="B185" s="281"/>
      <c r="C185" s="186" t="s">
        <v>369</v>
      </c>
      <c r="D185" s="186">
        <v>275400</v>
      </c>
      <c r="E185" s="188">
        <v>236000</v>
      </c>
      <c r="F185" s="596">
        <f t="shared" si="7"/>
        <v>85.69353667392883</v>
      </c>
      <c r="G185" s="188">
        <v>236000</v>
      </c>
      <c r="H185" s="188"/>
      <c r="I185" s="188"/>
      <c r="J185" s="188"/>
      <c r="K185" s="188"/>
      <c r="L185" s="188"/>
    </row>
    <row r="186" spans="1:12" s="47" customFormat="1" ht="12.75">
      <c r="A186" s="266"/>
      <c r="B186" s="218"/>
      <c r="C186" s="195"/>
      <c r="D186" s="195">
        <v>0</v>
      </c>
      <c r="E186" s="192">
        <f t="shared" si="8"/>
        <v>0</v>
      </c>
      <c r="F186" s="597"/>
      <c r="G186" s="192"/>
      <c r="H186" s="192"/>
      <c r="I186" s="192"/>
      <c r="J186" s="192"/>
      <c r="K186" s="192"/>
      <c r="L186" s="192"/>
    </row>
    <row r="187" spans="1:12" s="47" customFormat="1" ht="31.5">
      <c r="A187" s="361">
        <v>853</v>
      </c>
      <c r="B187" s="359" t="s">
        <v>25</v>
      </c>
      <c r="C187" s="360" t="s">
        <v>344</v>
      </c>
      <c r="D187" s="360">
        <v>75000</v>
      </c>
      <c r="E187" s="362">
        <f t="shared" si="8"/>
        <v>0</v>
      </c>
      <c r="F187" s="594">
        <f t="shared" si="7"/>
        <v>0</v>
      </c>
      <c r="G187" s="362">
        <f>+G188</f>
        <v>0</v>
      </c>
      <c r="H187" s="362">
        <f>+H190</f>
        <v>0</v>
      </c>
      <c r="I187" s="362">
        <f>+I190</f>
        <v>0</v>
      </c>
      <c r="J187" s="362"/>
      <c r="K187" s="362"/>
      <c r="L187" s="388">
        <v>0</v>
      </c>
    </row>
    <row r="188" spans="1:12" s="47" customFormat="1" ht="15">
      <c r="A188" s="216"/>
      <c r="B188" s="277">
        <v>85395</v>
      </c>
      <c r="C188" s="196" t="s">
        <v>278</v>
      </c>
      <c r="D188" s="196">
        <f>+D189+D190</f>
        <v>75000</v>
      </c>
      <c r="E188" s="193">
        <f t="shared" si="8"/>
        <v>0</v>
      </c>
      <c r="F188" s="600">
        <f t="shared" si="7"/>
        <v>0</v>
      </c>
      <c r="G188" s="193">
        <f>+G189+G190</f>
        <v>0</v>
      </c>
      <c r="H188" s="193"/>
      <c r="I188" s="193"/>
      <c r="J188" s="193"/>
      <c r="K188" s="193"/>
      <c r="L188" s="192"/>
    </row>
    <row r="189" spans="1:12" s="47" customFormat="1" ht="15">
      <c r="A189" s="216"/>
      <c r="B189" s="217"/>
      <c r="C189" s="195" t="s">
        <v>519</v>
      </c>
      <c r="D189" s="195"/>
      <c r="E189" s="192">
        <f>+G189+L189</f>
        <v>0</v>
      </c>
      <c r="F189" s="597"/>
      <c r="G189" s="192">
        <f>350000-350000</f>
        <v>0</v>
      </c>
      <c r="H189" s="376"/>
      <c r="I189" s="376"/>
      <c r="J189" s="376"/>
      <c r="K189" s="376"/>
      <c r="L189" s="188"/>
    </row>
    <row r="190" spans="1:12" s="47" customFormat="1" ht="12.75">
      <c r="A190" s="266"/>
      <c r="B190" s="218"/>
      <c r="C190" s="198" t="s">
        <v>345</v>
      </c>
      <c r="D190" s="198">
        <v>75000</v>
      </c>
      <c r="E190" s="189">
        <f t="shared" si="8"/>
        <v>0</v>
      </c>
      <c r="F190" s="602">
        <f t="shared" si="7"/>
        <v>0</v>
      </c>
      <c r="G190" s="189">
        <f>75000-75000</f>
        <v>0</v>
      </c>
      <c r="H190" s="189"/>
      <c r="I190" s="189"/>
      <c r="J190" s="189"/>
      <c r="K190" s="189"/>
      <c r="L190" s="189"/>
    </row>
    <row r="191" spans="1:12" s="47" customFormat="1" ht="15.75">
      <c r="A191" s="361">
        <v>854</v>
      </c>
      <c r="B191" s="359"/>
      <c r="C191" s="360" t="s">
        <v>346</v>
      </c>
      <c r="D191" s="360">
        <f>+D192+D200+D202+D203</f>
        <v>545569</v>
      </c>
      <c r="E191" s="362">
        <f t="shared" si="8"/>
        <v>370111</v>
      </c>
      <c r="F191" s="594">
        <f t="shared" si="7"/>
        <v>67.83944835575335</v>
      </c>
      <c r="G191" s="362">
        <f>+G192+G200+G203</f>
        <v>370111</v>
      </c>
      <c r="H191" s="362">
        <f>+H192+H200+H203</f>
        <v>228393</v>
      </c>
      <c r="I191" s="362">
        <f>+I192+I200+I203</f>
        <v>48373</v>
      </c>
      <c r="J191" s="362"/>
      <c r="K191" s="362"/>
      <c r="L191" s="362">
        <v>0</v>
      </c>
    </row>
    <row r="192" spans="1:12" s="47" customFormat="1" ht="12.75">
      <c r="A192" s="181"/>
      <c r="B192" s="208">
        <v>85401</v>
      </c>
      <c r="C192" s="187" t="s">
        <v>347</v>
      </c>
      <c r="D192" s="187">
        <v>333970</v>
      </c>
      <c r="E192" s="190">
        <f t="shared" si="8"/>
        <v>300240</v>
      </c>
      <c r="F192" s="595">
        <f t="shared" si="7"/>
        <v>89.90029044524958</v>
      </c>
      <c r="G192" s="190">
        <f>SUM(G194:G199)</f>
        <v>300240</v>
      </c>
      <c r="H192" s="190">
        <f>SUM(H194:H199)</f>
        <v>228393</v>
      </c>
      <c r="I192" s="190">
        <f>SUM(I194:I199)</f>
        <v>48373</v>
      </c>
      <c r="J192" s="190"/>
      <c r="K192" s="190"/>
      <c r="L192" s="190"/>
    </row>
    <row r="193" spans="1:12" s="47" customFormat="1" ht="12.75">
      <c r="A193" s="180"/>
      <c r="B193" s="281"/>
      <c r="C193" s="186" t="s">
        <v>315</v>
      </c>
      <c r="D193" s="186"/>
      <c r="E193" s="188"/>
      <c r="F193" s="596"/>
      <c r="G193" s="188"/>
      <c r="H193" s="188"/>
      <c r="I193" s="188"/>
      <c r="J193" s="188"/>
      <c r="K193" s="188"/>
      <c r="L193" s="188"/>
    </row>
    <row r="194" spans="1:12" s="47" customFormat="1" ht="12.75">
      <c r="A194" s="180"/>
      <c r="B194" s="281"/>
      <c r="C194" s="274" t="s">
        <v>348</v>
      </c>
      <c r="D194" s="274">
        <v>23640</v>
      </c>
      <c r="E194" s="223">
        <f t="shared" si="8"/>
        <v>24113</v>
      </c>
      <c r="F194" s="606">
        <f t="shared" si="7"/>
        <v>102.00084602368867</v>
      </c>
      <c r="G194" s="223">
        <v>24113</v>
      </c>
      <c r="H194" s="188">
        <f>17500+1510</f>
        <v>19010</v>
      </c>
      <c r="I194" s="188">
        <f>3390+464</f>
        <v>3854</v>
      </c>
      <c r="J194" s="188"/>
      <c r="K194" s="188"/>
      <c r="L194" s="188"/>
    </row>
    <row r="195" spans="1:12" s="47" customFormat="1" ht="12.75">
      <c r="A195" s="180"/>
      <c r="B195" s="281"/>
      <c r="C195" s="274" t="s">
        <v>349</v>
      </c>
      <c r="D195" s="274">
        <v>29420</v>
      </c>
      <c r="E195" s="223">
        <f t="shared" si="8"/>
        <v>27247</v>
      </c>
      <c r="F195" s="606">
        <f t="shared" si="7"/>
        <v>92.61386811692725</v>
      </c>
      <c r="G195" s="223">
        <v>27247</v>
      </c>
      <c r="H195" s="188">
        <f>16504+1750</f>
        <v>18254</v>
      </c>
      <c r="I195" s="188">
        <f>4178+573</f>
        <v>4751</v>
      </c>
      <c r="J195" s="188"/>
      <c r="K195" s="188"/>
      <c r="L195" s="188"/>
    </row>
    <row r="196" spans="1:12" s="47" customFormat="1" ht="12.75">
      <c r="A196" s="180"/>
      <c r="B196" s="281"/>
      <c r="C196" s="274" t="s">
        <v>350</v>
      </c>
      <c r="D196" s="274">
        <v>74610</v>
      </c>
      <c r="E196" s="223">
        <f t="shared" si="8"/>
        <v>80802</v>
      </c>
      <c r="F196" s="606">
        <f t="shared" si="7"/>
        <v>108.29915560916767</v>
      </c>
      <c r="G196" s="223">
        <v>80802</v>
      </c>
      <c r="H196" s="188">
        <f>58708+4880</f>
        <v>63588</v>
      </c>
      <c r="I196" s="188">
        <f>11340+1558</f>
        <v>12898</v>
      </c>
      <c r="J196" s="188"/>
      <c r="K196" s="188"/>
      <c r="L196" s="188"/>
    </row>
    <row r="197" spans="1:12" s="47" customFormat="1" ht="12.75">
      <c r="A197" s="180"/>
      <c r="B197" s="281"/>
      <c r="C197" s="274" t="s">
        <v>351</v>
      </c>
      <c r="D197" s="274">
        <v>97300</v>
      </c>
      <c r="E197" s="223">
        <f t="shared" si="8"/>
        <v>94928</v>
      </c>
      <c r="F197" s="606">
        <f t="shared" si="7"/>
        <v>97.56217882836587</v>
      </c>
      <c r="G197" s="223">
        <v>94928</v>
      </c>
      <c r="H197" s="188">
        <f>68272+6000</f>
        <v>74272</v>
      </c>
      <c r="I197" s="188">
        <f>13280+1820</f>
        <v>15100</v>
      </c>
      <c r="J197" s="188"/>
      <c r="K197" s="188"/>
      <c r="L197" s="188"/>
    </row>
    <row r="198" spans="1:12" s="47" customFormat="1" ht="12.75">
      <c r="A198" s="180"/>
      <c r="B198" s="281"/>
      <c r="C198" s="274" t="s">
        <v>352</v>
      </c>
      <c r="D198" s="274">
        <v>86100</v>
      </c>
      <c r="E198" s="223">
        <f t="shared" si="8"/>
        <v>52350</v>
      </c>
      <c r="F198" s="606">
        <f t="shared" si="7"/>
        <v>60.801393728223</v>
      </c>
      <c r="G198" s="223">
        <v>52350</v>
      </c>
      <c r="H198" s="188">
        <f>33634+4656</f>
        <v>38290</v>
      </c>
      <c r="I198" s="188">
        <f>7421+1017</f>
        <v>8438</v>
      </c>
      <c r="J198" s="188"/>
      <c r="K198" s="188"/>
      <c r="L198" s="188"/>
    </row>
    <row r="199" spans="1:12" s="47" customFormat="1" ht="12.75">
      <c r="A199" s="180"/>
      <c r="B199" s="280"/>
      <c r="C199" s="274" t="s">
        <v>353</v>
      </c>
      <c r="D199" s="274">
        <v>22900</v>
      </c>
      <c r="E199" s="223">
        <f t="shared" si="8"/>
        <v>20800</v>
      </c>
      <c r="F199" s="606">
        <f t="shared" si="7"/>
        <v>90.82969432314411</v>
      </c>
      <c r="G199" s="223">
        <v>20800</v>
      </c>
      <c r="H199" s="188">
        <f>14139+840</f>
        <v>14979</v>
      </c>
      <c r="I199" s="188">
        <f>2930+402</f>
        <v>3332</v>
      </c>
      <c r="J199" s="188"/>
      <c r="K199" s="188"/>
      <c r="L199" s="188"/>
    </row>
    <row r="200" spans="1:12" s="47" customFormat="1" ht="25.5">
      <c r="A200" s="180"/>
      <c r="B200" s="208">
        <v>85412</v>
      </c>
      <c r="C200" s="278" t="s">
        <v>354</v>
      </c>
      <c r="D200" s="278">
        <v>65000</v>
      </c>
      <c r="E200" s="377">
        <f t="shared" si="8"/>
        <v>65000</v>
      </c>
      <c r="F200" s="609">
        <f t="shared" si="7"/>
        <v>100</v>
      </c>
      <c r="G200" s="377">
        <f>+G201</f>
        <v>65000</v>
      </c>
      <c r="H200" s="185"/>
      <c r="I200" s="185"/>
      <c r="J200" s="185"/>
      <c r="K200" s="185"/>
      <c r="L200" s="185"/>
    </row>
    <row r="201" spans="1:12" s="47" customFormat="1" ht="12.75">
      <c r="A201" s="180"/>
      <c r="B201" s="280"/>
      <c r="C201" s="195" t="s">
        <v>355</v>
      </c>
      <c r="D201" s="195">
        <v>65000</v>
      </c>
      <c r="E201" s="192">
        <f t="shared" si="8"/>
        <v>65000</v>
      </c>
      <c r="F201" s="597">
        <f t="shared" si="7"/>
        <v>100</v>
      </c>
      <c r="G201" s="192">
        <v>65000</v>
      </c>
      <c r="H201" s="192"/>
      <c r="I201" s="192"/>
      <c r="J201" s="192"/>
      <c r="K201" s="192"/>
      <c r="L201" s="192"/>
    </row>
    <row r="202" spans="1:12" s="47" customFormat="1" ht="12.75">
      <c r="A202" s="180"/>
      <c r="B202" s="208">
        <v>85415</v>
      </c>
      <c r="C202" s="196" t="s">
        <v>545</v>
      </c>
      <c r="D202" s="196">
        <v>139599</v>
      </c>
      <c r="E202" s="193">
        <f>+G202+L202</f>
        <v>0</v>
      </c>
      <c r="F202" s="600">
        <f>+E202/D202*100</f>
        <v>0</v>
      </c>
      <c r="G202" s="193">
        <f>130000-130000</f>
        <v>0</v>
      </c>
      <c r="H202" s="193"/>
      <c r="I202" s="193"/>
      <c r="J202" s="193"/>
      <c r="K202" s="193"/>
      <c r="L202" s="193"/>
    </row>
    <row r="203" spans="1:12" s="47" customFormat="1" ht="12.75">
      <c r="A203" s="180"/>
      <c r="B203" s="208">
        <v>85495</v>
      </c>
      <c r="C203" s="196" t="s">
        <v>278</v>
      </c>
      <c r="D203" s="196">
        <v>7000</v>
      </c>
      <c r="E203" s="193">
        <f t="shared" si="8"/>
        <v>4871</v>
      </c>
      <c r="F203" s="600">
        <f t="shared" si="7"/>
        <v>69.58571428571429</v>
      </c>
      <c r="G203" s="193">
        <f>+G204</f>
        <v>4871</v>
      </c>
      <c r="H203" s="193"/>
      <c r="I203" s="193"/>
      <c r="J203" s="193"/>
      <c r="K203" s="193"/>
      <c r="L203" s="193"/>
    </row>
    <row r="204" spans="1:12" s="47" customFormat="1" ht="12.75">
      <c r="A204" s="266"/>
      <c r="B204" s="218"/>
      <c r="C204" s="198" t="s">
        <v>398</v>
      </c>
      <c r="D204" s="198">
        <v>7000</v>
      </c>
      <c r="E204" s="189">
        <f t="shared" si="8"/>
        <v>4871</v>
      </c>
      <c r="F204" s="602">
        <f t="shared" si="7"/>
        <v>69.58571428571429</v>
      </c>
      <c r="G204" s="189">
        <f>900+1644+1078+1026+223</f>
        <v>4871</v>
      </c>
      <c r="H204" s="189"/>
      <c r="I204" s="189"/>
      <c r="J204" s="189"/>
      <c r="K204" s="189"/>
      <c r="L204" s="189"/>
    </row>
    <row r="205" spans="1:12" s="47" customFormat="1" ht="31.5">
      <c r="A205" s="361">
        <v>900</v>
      </c>
      <c r="B205" s="359"/>
      <c r="C205" s="360" t="s">
        <v>356</v>
      </c>
      <c r="D205" s="360">
        <f>+D206+D214+D215+D219+D221+D226</f>
        <v>5175500</v>
      </c>
      <c r="E205" s="362">
        <f t="shared" si="8"/>
        <v>4508500</v>
      </c>
      <c r="F205" s="594">
        <f t="shared" si="7"/>
        <v>87.11235629407787</v>
      </c>
      <c r="G205" s="362">
        <f>+G206+G214+G215+G219+G221+G226</f>
        <v>1358500</v>
      </c>
      <c r="H205" s="362"/>
      <c r="I205" s="362"/>
      <c r="J205" s="362"/>
      <c r="K205" s="362"/>
      <c r="L205" s="362">
        <f>+L206+L214+L215+L219+L221+L226</f>
        <v>3150000</v>
      </c>
    </row>
    <row r="206" spans="1:12" s="47" customFormat="1" ht="12.75">
      <c r="A206" s="180"/>
      <c r="B206" s="208">
        <v>90001</v>
      </c>
      <c r="C206" s="187" t="s">
        <v>357</v>
      </c>
      <c r="D206" s="187">
        <v>3910000</v>
      </c>
      <c r="E206" s="190">
        <f t="shared" si="8"/>
        <v>3260000</v>
      </c>
      <c r="F206" s="595">
        <f t="shared" si="7"/>
        <v>83.37595907928389</v>
      </c>
      <c r="G206" s="190">
        <f>SUM(G207:G209)</f>
        <v>160000</v>
      </c>
      <c r="H206" s="190"/>
      <c r="I206" s="190"/>
      <c r="J206" s="190"/>
      <c r="K206" s="190"/>
      <c r="L206" s="190">
        <f>SUM(L207:L210)</f>
        <v>3100000</v>
      </c>
    </row>
    <row r="207" spans="1:12" s="47" customFormat="1" ht="12.75">
      <c r="A207" s="180"/>
      <c r="B207" s="281"/>
      <c r="C207" s="195" t="s">
        <v>358</v>
      </c>
      <c r="D207" s="195">
        <v>60000</v>
      </c>
      <c r="E207" s="192">
        <f t="shared" si="8"/>
        <v>80000</v>
      </c>
      <c r="F207" s="597">
        <f t="shared" si="7"/>
        <v>133.33333333333331</v>
      </c>
      <c r="G207" s="192">
        <f>60000+20000</f>
        <v>80000</v>
      </c>
      <c r="H207" s="192"/>
      <c r="I207" s="192"/>
      <c r="J207" s="192"/>
      <c r="K207" s="192"/>
      <c r="L207" s="192"/>
    </row>
    <row r="208" spans="1:12" s="47" customFormat="1" ht="12.75">
      <c r="A208" s="180"/>
      <c r="B208" s="281"/>
      <c r="C208" s="195" t="s">
        <v>359</v>
      </c>
      <c r="D208" s="195">
        <v>50000</v>
      </c>
      <c r="E208" s="192">
        <f t="shared" si="8"/>
        <v>50000</v>
      </c>
      <c r="F208" s="597">
        <f t="shared" si="7"/>
        <v>100</v>
      </c>
      <c r="G208" s="192">
        <v>50000</v>
      </c>
      <c r="H208" s="192"/>
      <c r="I208" s="192"/>
      <c r="J208" s="192"/>
      <c r="K208" s="192"/>
      <c r="L208" s="192"/>
    </row>
    <row r="209" spans="1:12" s="47" customFormat="1" ht="12.75">
      <c r="A209" s="180"/>
      <c r="B209" s="281"/>
      <c r="C209" s="195" t="s">
        <v>360</v>
      </c>
      <c r="D209" s="195">
        <v>30000</v>
      </c>
      <c r="E209" s="192">
        <f t="shared" si="8"/>
        <v>30000</v>
      </c>
      <c r="F209" s="597">
        <f t="shared" si="7"/>
        <v>100</v>
      </c>
      <c r="G209" s="192">
        <v>30000</v>
      </c>
      <c r="H209" s="192"/>
      <c r="I209" s="192"/>
      <c r="J209" s="192"/>
      <c r="K209" s="192"/>
      <c r="L209" s="192"/>
    </row>
    <row r="210" spans="1:12" s="47" customFormat="1" ht="12.75">
      <c r="A210" s="180"/>
      <c r="B210" s="281"/>
      <c r="C210" s="196" t="s">
        <v>423</v>
      </c>
      <c r="D210" s="196">
        <v>3770000</v>
      </c>
      <c r="E210" s="193">
        <f t="shared" si="8"/>
        <v>3100000</v>
      </c>
      <c r="F210" s="600">
        <f t="shared" si="7"/>
        <v>82.22811671087533</v>
      </c>
      <c r="G210" s="193"/>
      <c r="H210" s="193"/>
      <c r="I210" s="193"/>
      <c r="J210" s="193"/>
      <c r="K210" s="193"/>
      <c r="L210" s="193">
        <f>SUM(L211:L213)</f>
        <v>3100000</v>
      </c>
    </row>
    <row r="211" spans="1:12" s="47" customFormat="1" ht="25.5">
      <c r="A211" s="180"/>
      <c r="B211" s="281"/>
      <c r="C211" s="197" t="s">
        <v>505</v>
      </c>
      <c r="D211" s="197">
        <v>3750000</v>
      </c>
      <c r="E211" s="194">
        <f t="shared" si="8"/>
        <v>3000000</v>
      </c>
      <c r="F211" s="601">
        <f t="shared" si="7"/>
        <v>80</v>
      </c>
      <c r="G211" s="194"/>
      <c r="H211" s="194"/>
      <c r="I211" s="194"/>
      <c r="J211" s="194"/>
      <c r="K211" s="194"/>
      <c r="L211" s="194">
        <v>3000000</v>
      </c>
    </row>
    <row r="212" spans="1:12" s="47" customFormat="1" ht="12.75">
      <c r="A212" s="180"/>
      <c r="B212" s="281"/>
      <c r="C212" s="197" t="s">
        <v>361</v>
      </c>
      <c r="D212" s="197">
        <v>10000</v>
      </c>
      <c r="E212" s="194">
        <f t="shared" si="8"/>
        <v>0</v>
      </c>
      <c r="F212" s="601">
        <f t="shared" si="7"/>
        <v>0</v>
      </c>
      <c r="G212" s="194"/>
      <c r="H212" s="194"/>
      <c r="I212" s="194"/>
      <c r="J212" s="194"/>
      <c r="K212" s="194"/>
      <c r="L212" s="194"/>
    </row>
    <row r="213" spans="1:12" s="47" customFormat="1" ht="25.5">
      <c r="A213" s="180"/>
      <c r="B213" s="280"/>
      <c r="C213" s="197" t="s">
        <v>362</v>
      </c>
      <c r="D213" s="197">
        <v>10000</v>
      </c>
      <c r="E213" s="194">
        <f t="shared" si="8"/>
        <v>100000</v>
      </c>
      <c r="F213" s="601">
        <f t="shared" si="7"/>
        <v>1000</v>
      </c>
      <c r="G213" s="194"/>
      <c r="H213" s="194"/>
      <c r="I213" s="194"/>
      <c r="J213" s="194"/>
      <c r="K213" s="194"/>
      <c r="L213" s="194">
        <v>100000</v>
      </c>
    </row>
    <row r="214" spans="1:12" s="47" customFormat="1" ht="12.75">
      <c r="A214" s="180"/>
      <c r="B214" s="208">
        <v>90003</v>
      </c>
      <c r="C214" s="196" t="s">
        <v>370</v>
      </c>
      <c r="D214" s="196">
        <v>80000</v>
      </c>
      <c r="E214" s="193">
        <f t="shared" si="8"/>
        <v>95000</v>
      </c>
      <c r="F214" s="600">
        <f t="shared" si="7"/>
        <v>118.75</v>
      </c>
      <c r="G214" s="193">
        <v>95000</v>
      </c>
      <c r="H214" s="193"/>
      <c r="I214" s="193"/>
      <c r="J214" s="193"/>
      <c r="K214" s="193"/>
      <c r="L214" s="193"/>
    </row>
    <row r="215" spans="1:12" s="47" customFormat="1" ht="12.75">
      <c r="A215" s="180"/>
      <c r="B215" s="208">
        <v>90004</v>
      </c>
      <c r="C215" s="196" t="s">
        <v>371</v>
      </c>
      <c r="D215" s="196">
        <v>20000</v>
      </c>
      <c r="E215" s="193">
        <f t="shared" si="8"/>
        <v>70000</v>
      </c>
      <c r="F215" s="600">
        <f aca="true" t="shared" si="9" ref="F215:F276">+E215/D215*100</f>
        <v>350</v>
      </c>
      <c r="G215" s="193">
        <v>20000</v>
      </c>
      <c r="H215" s="193"/>
      <c r="I215" s="193"/>
      <c r="J215" s="193"/>
      <c r="K215" s="193"/>
      <c r="L215" s="193">
        <f>SUM(L217:L218)</f>
        <v>50000</v>
      </c>
    </row>
    <row r="216" spans="1:12" s="47" customFormat="1" ht="12.75">
      <c r="A216" s="180"/>
      <c r="B216" s="207"/>
      <c r="C216" s="196" t="s">
        <v>423</v>
      </c>
      <c r="D216" s="196"/>
      <c r="E216" s="193">
        <f>SUM(E217:E218)</f>
        <v>50000</v>
      </c>
      <c r="F216" s="600"/>
      <c r="G216" s="193"/>
      <c r="H216" s="193"/>
      <c r="I216" s="193"/>
      <c r="J216" s="193"/>
      <c r="K216" s="193"/>
      <c r="L216" s="193">
        <f>SUM(L217:L218)</f>
        <v>50000</v>
      </c>
    </row>
    <row r="217" spans="1:12" s="47" customFormat="1" ht="12.75">
      <c r="A217" s="180"/>
      <c r="B217" s="207"/>
      <c r="C217" s="195" t="s">
        <v>528</v>
      </c>
      <c r="D217" s="195"/>
      <c r="E217" s="192">
        <f t="shared" si="8"/>
        <v>50000</v>
      </c>
      <c r="F217" s="597"/>
      <c r="G217" s="192"/>
      <c r="H217" s="192"/>
      <c r="I217" s="192"/>
      <c r="J217" s="192"/>
      <c r="K217" s="192"/>
      <c r="L217" s="192">
        <v>50000</v>
      </c>
    </row>
    <row r="218" spans="1:12" s="47" customFormat="1" ht="12.75">
      <c r="A218" s="180"/>
      <c r="B218" s="205"/>
      <c r="C218" s="195" t="s">
        <v>510</v>
      </c>
      <c r="D218" s="195"/>
      <c r="E218" s="192">
        <f t="shared" si="8"/>
        <v>0</v>
      </c>
      <c r="F218" s="597"/>
      <c r="G218" s="192"/>
      <c r="H218" s="192"/>
      <c r="I218" s="192"/>
      <c r="J218" s="192"/>
      <c r="K218" s="192"/>
      <c r="L218" s="192">
        <f>100000-100000</f>
        <v>0</v>
      </c>
    </row>
    <row r="219" spans="1:12" s="47" customFormat="1" ht="12.75">
      <c r="A219" s="180"/>
      <c r="B219" s="208">
        <v>90013</v>
      </c>
      <c r="C219" s="196" t="s">
        <v>372</v>
      </c>
      <c r="D219" s="196">
        <v>19500</v>
      </c>
      <c r="E219" s="193">
        <f t="shared" si="8"/>
        <v>19000</v>
      </c>
      <c r="F219" s="600">
        <f t="shared" si="9"/>
        <v>97.43589743589743</v>
      </c>
      <c r="G219" s="193">
        <f>+G220</f>
        <v>19000</v>
      </c>
      <c r="H219" s="193"/>
      <c r="I219" s="193"/>
      <c r="J219" s="193"/>
      <c r="K219" s="193"/>
      <c r="L219" s="193"/>
    </row>
    <row r="220" spans="1:12" s="47" customFormat="1" ht="12.75">
      <c r="A220" s="180"/>
      <c r="B220" s="280"/>
      <c r="C220" s="195" t="s">
        <v>373</v>
      </c>
      <c r="D220" s="195">
        <v>19500</v>
      </c>
      <c r="E220" s="192">
        <f t="shared" si="8"/>
        <v>19000</v>
      </c>
      <c r="F220" s="597">
        <f t="shared" si="9"/>
        <v>97.43589743589743</v>
      </c>
      <c r="G220" s="192">
        <v>19000</v>
      </c>
      <c r="H220" s="192"/>
      <c r="I220" s="192"/>
      <c r="J220" s="192"/>
      <c r="K220" s="192"/>
      <c r="L220" s="192"/>
    </row>
    <row r="221" spans="1:12" s="47" customFormat="1" ht="12.75">
      <c r="A221" s="180"/>
      <c r="B221" s="208">
        <v>90015</v>
      </c>
      <c r="C221" s="196" t="s">
        <v>374</v>
      </c>
      <c r="D221" s="196">
        <v>1080000</v>
      </c>
      <c r="E221" s="193">
        <f t="shared" si="8"/>
        <v>1000000</v>
      </c>
      <c r="F221" s="600">
        <f t="shared" si="9"/>
        <v>92.5925925925926</v>
      </c>
      <c r="G221" s="193">
        <f>SUM(G222:G223)</f>
        <v>1000000</v>
      </c>
      <c r="H221" s="193"/>
      <c r="I221" s="193"/>
      <c r="J221" s="193"/>
      <c r="K221" s="193"/>
      <c r="L221" s="193">
        <f>SUM(L222:L225)</f>
        <v>0</v>
      </c>
    </row>
    <row r="222" spans="1:12" s="47" customFormat="1" ht="12.75">
      <c r="A222" s="180"/>
      <c r="B222" s="281"/>
      <c r="C222" s="195" t="s">
        <v>375</v>
      </c>
      <c r="D222" s="195">
        <v>900000</v>
      </c>
      <c r="E222" s="192">
        <f>+G222+L222</f>
        <v>900000</v>
      </c>
      <c r="F222" s="597">
        <f t="shared" si="9"/>
        <v>100</v>
      </c>
      <c r="G222" s="192">
        <v>900000</v>
      </c>
      <c r="H222" s="192"/>
      <c r="I222" s="192"/>
      <c r="J222" s="192"/>
      <c r="K222" s="192"/>
      <c r="L222" s="192"/>
    </row>
    <row r="223" spans="1:12" s="47" customFormat="1" ht="12.75">
      <c r="A223" s="180"/>
      <c r="B223" s="281"/>
      <c r="C223" s="195" t="s">
        <v>376</v>
      </c>
      <c r="D223" s="195">
        <v>100000</v>
      </c>
      <c r="E223" s="192">
        <f>+G223+L223</f>
        <v>100000</v>
      </c>
      <c r="F223" s="597">
        <f t="shared" si="9"/>
        <v>100</v>
      </c>
      <c r="G223" s="192">
        <v>100000</v>
      </c>
      <c r="H223" s="192"/>
      <c r="I223" s="192"/>
      <c r="J223" s="192"/>
      <c r="K223" s="192"/>
      <c r="L223" s="192"/>
    </row>
    <row r="224" spans="1:12" s="47" customFormat="1" ht="12.75">
      <c r="A224" s="180"/>
      <c r="B224" s="281"/>
      <c r="C224" s="196" t="s">
        <v>424</v>
      </c>
      <c r="D224" s="196">
        <f>+D225</f>
        <v>80000</v>
      </c>
      <c r="E224" s="193">
        <f t="shared" si="8"/>
        <v>0</v>
      </c>
      <c r="F224" s="597"/>
      <c r="G224" s="192"/>
      <c r="H224" s="192"/>
      <c r="I224" s="192"/>
      <c r="J224" s="192"/>
      <c r="K224" s="192"/>
      <c r="L224" s="193">
        <v>0</v>
      </c>
    </row>
    <row r="225" spans="1:12" s="47" customFormat="1" ht="12.75">
      <c r="A225" s="180"/>
      <c r="B225" s="280"/>
      <c r="C225" s="279" t="s">
        <v>377</v>
      </c>
      <c r="D225" s="279">
        <v>80000</v>
      </c>
      <c r="E225" s="191">
        <f t="shared" si="8"/>
        <v>0</v>
      </c>
      <c r="F225" s="598">
        <f t="shared" si="9"/>
        <v>0</v>
      </c>
      <c r="G225" s="191"/>
      <c r="H225" s="191"/>
      <c r="I225" s="191"/>
      <c r="J225" s="191"/>
      <c r="K225" s="191"/>
      <c r="L225" s="191">
        <f>200000-200000</f>
        <v>0</v>
      </c>
    </row>
    <row r="226" spans="1:12" s="47" customFormat="1" ht="12.75">
      <c r="A226" s="180"/>
      <c r="B226" s="208">
        <v>90095</v>
      </c>
      <c r="C226" s="196" t="s">
        <v>278</v>
      </c>
      <c r="D226" s="196">
        <v>66000</v>
      </c>
      <c r="E226" s="193">
        <f aca="true" t="shared" si="10" ref="E226:E269">+G226+L226</f>
        <v>64500</v>
      </c>
      <c r="F226" s="600">
        <f t="shared" si="9"/>
        <v>97.72727272727273</v>
      </c>
      <c r="G226" s="193">
        <f>SUM(G227:G230)</f>
        <v>64500</v>
      </c>
      <c r="H226" s="193"/>
      <c r="I226" s="193"/>
      <c r="J226" s="193"/>
      <c r="K226" s="193"/>
      <c r="L226" s="193">
        <f>SUM(L227:L230)</f>
        <v>0</v>
      </c>
    </row>
    <row r="227" spans="1:12" s="47" customFormat="1" ht="12.75">
      <c r="A227" s="180"/>
      <c r="B227" s="207"/>
      <c r="C227" s="195" t="s">
        <v>378</v>
      </c>
      <c r="D227" s="195">
        <v>66000</v>
      </c>
      <c r="E227" s="192">
        <f>+G227+L227</f>
        <v>64500</v>
      </c>
      <c r="F227" s="597">
        <f t="shared" si="9"/>
        <v>97.72727272727273</v>
      </c>
      <c r="G227" s="192">
        <f>21000+43500</f>
        <v>64500</v>
      </c>
      <c r="H227" s="192"/>
      <c r="I227" s="192"/>
      <c r="J227" s="192"/>
      <c r="K227" s="192"/>
      <c r="L227" s="192"/>
    </row>
    <row r="228" spans="1:12" s="47" customFormat="1" ht="12.75">
      <c r="A228" s="266"/>
      <c r="B228" s="575"/>
      <c r="C228" s="198" t="s">
        <v>516</v>
      </c>
      <c r="D228" s="198"/>
      <c r="E228" s="189"/>
      <c r="F228" s="602"/>
      <c r="G228" s="189"/>
      <c r="H228" s="189"/>
      <c r="I228" s="189"/>
      <c r="J228" s="189"/>
      <c r="K228" s="189"/>
      <c r="L228" s="189"/>
    </row>
    <row r="229" spans="1:12" s="47" customFormat="1" ht="12.75" hidden="1">
      <c r="A229" s="180"/>
      <c r="B229" s="207"/>
      <c r="C229" s="573" t="s">
        <v>518</v>
      </c>
      <c r="D229" s="573"/>
      <c r="E229" s="574">
        <f>+G229+L229</f>
        <v>0</v>
      </c>
      <c r="F229" s="610"/>
      <c r="G229" s="574"/>
      <c r="H229" s="574"/>
      <c r="I229" s="574"/>
      <c r="J229" s="574"/>
      <c r="K229" s="574"/>
      <c r="L229" s="574">
        <f>40000-40000</f>
        <v>0</v>
      </c>
    </row>
    <row r="230" spans="1:12" s="47" customFormat="1" ht="12.75" hidden="1">
      <c r="A230" s="266"/>
      <c r="B230" s="218"/>
      <c r="C230" s="195" t="s">
        <v>517</v>
      </c>
      <c r="D230" s="195"/>
      <c r="E230" s="192">
        <f t="shared" si="10"/>
        <v>0</v>
      </c>
      <c r="F230" s="597"/>
      <c r="G230" s="192"/>
      <c r="H230" s="192"/>
      <c r="I230" s="192"/>
      <c r="J230" s="192"/>
      <c r="K230" s="192"/>
      <c r="L230" s="192">
        <f>500000-500000</f>
        <v>0</v>
      </c>
    </row>
    <row r="231" spans="1:12" s="47" customFormat="1" ht="31.5">
      <c r="A231" s="361">
        <v>921</v>
      </c>
      <c r="B231" s="359"/>
      <c r="C231" s="360" t="s">
        <v>379</v>
      </c>
      <c r="D231" s="360">
        <f>+D232+D235+D236+D238+D244</f>
        <v>2159237</v>
      </c>
      <c r="E231" s="362">
        <v>2109000</v>
      </c>
      <c r="F231" s="594">
        <f t="shared" si="9"/>
        <v>97.67339110991522</v>
      </c>
      <c r="G231" s="362">
        <v>2109000</v>
      </c>
      <c r="H231" s="362">
        <f>+H232+H235+H236+H238</f>
        <v>0</v>
      </c>
      <c r="I231" s="362">
        <f>+I232+I235+I236+I238</f>
        <v>0</v>
      </c>
      <c r="J231" s="392">
        <v>794000</v>
      </c>
      <c r="K231" s="362">
        <f>+K232+K235+K236+K238</f>
        <v>0</v>
      </c>
      <c r="L231" s="362">
        <f>+L232+L235+L236+L238</f>
        <v>0</v>
      </c>
    </row>
    <row r="232" spans="1:12" s="47" customFormat="1" ht="12.75">
      <c r="A232" s="180"/>
      <c r="B232" s="208">
        <v>92105</v>
      </c>
      <c r="C232" s="187" t="s">
        <v>380</v>
      </c>
      <c r="D232" s="187">
        <f>SUM(D233:D234)</f>
        <v>386555</v>
      </c>
      <c r="E232" s="190">
        <f t="shared" si="10"/>
        <v>0</v>
      </c>
      <c r="F232" s="595">
        <f t="shared" si="9"/>
        <v>0</v>
      </c>
      <c r="G232" s="190">
        <f>+G233+G234</f>
        <v>0</v>
      </c>
      <c r="H232" s="190">
        <f>+H233+H234</f>
        <v>0</v>
      </c>
      <c r="I232" s="190">
        <f>+I233+I234</f>
        <v>0</v>
      </c>
      <c r="J232" s="393">
        <f>+J233+J234</f>
        <v>0</v>
      </c>
      <c r="K232" s="190"/>
      <c r="L232" s="190"/>
    </row>
    <row r="233" spans="1:12" s="47" customFormat="1" ht="25.5">
      <c r="A233" s="180"/>
      <c r="B233" s="281"/>
      <c r="C233" s="195" t="s">
        <v>598</v>
      </c>
      <c r="D233" s="195">
        <v>356555</v>
      </c>
      <c r="E233" s="192">
        <f t="shared" si="10"/>
        <v>0</v>
      </c>
      <c r="F233" s="597">
        <f t="shared" si="9"/>
        <v>0</v>
      </c>
      <c r="G233" s="192"/>
      <c r="H233" s="192"/>
      <c r="I233" s="192"/>
      <c r="J233" s="224"/>
      <c r="K233" s="192"/>
      <c r="L233" s="192"/>
    </row>
    <row r="234" spans="1:12" s="47" customFormat="1" ht="12.75">
      <c r="A234" s="269"/>
      <c r="B234" s="214"/>
      <c r="C234" s="192" t="s">
        <v>381</v>
      </c>
      <c r="D234" s="192">
        <v>30000</v>
      </c>
      <c r="E234" s="192">
        <f t="shared" si="10"/>
        <v>0</v>
      </c>
      <c r="F234" s="597">
        <f t="shared" si="9"/>
        <v>0</v>
      </c>
      <c r="G234" s="192"/>
      <c r="H234" s="192"/>
      <c r="I234" s="192"/>
      <c r="J234" s="224"/>
      <c r="K234" s="192"/>
      <c r="L234" s="192"/>
    </row>
    <row r="235" spans="1:12" s="47" customFormat="1" ht="12.75">
      <c r="A235" s="269"/>
      <c r="B235" s="203">
        <v>92113</v>
      </c>
      <c r="C235" s="193" t="s">
        <v>513</v>
      </c>
      <c r="D235" s="193">
        <v>158000</v>
      </c>
      <c r="E235" s="193">
        <v>561000</v>
      </c>
      <c r="F235" s="600">
        <f t="shared" si="9"/>
        <v>355.0632911392405</v>
      </c>
      <c r="G235" s="193">
        <v>561000</v>
      </c>
      <c r="H235" s="193"/>
      <c r="I235" s="193"/>
      <c r="J235" s="225">
        <f>+G235</f>
        <v>561000</v>
      </c>
      <c r="K235" s="193"/>
      <c r="L235" s="193"/>
    </row>
    <row r="236" spans="1:12" s="47" customFormat="1" ht="12.75">
      <c r="A236" s="269"/>
      <c r="B236" s="204">
        <v>92116</v>
      </c>
      <c r="C236" s="193" t="s">
        <v>383</v>
      </c>
      <c r="D236" s="193">
        <f>+D237</f>
        <v>249500</v>
      </c>
      <c r="E236" s="193">
        <f t="shared" si="10"/>
        <v>233000</v>
      </c>
      <c r="F236" s="600">
        <f t="shared" si="9"/>
        <v>93.3867735470942</v>
      </c>
      <c r="G236" s="193">
        <f>+G237</f>
        <v>233000</v>
      </c>
      <c r="H236" s="193">
        <f>+H237</f>
        <v>0</v>
      </c>
      <c r="I236" s="193">
        <f>+I237</f>
        <v>0</v>
      </c>
      <c r="J236" s="225">
        <f>+J237</f>
        <v>233000</v>
      </c>
      <c r="K236" s="193"/>
      <c r="L236" s="193"/>
    </row>
    <row r="237" spans="1:12" s="47" customFormat="1" ht="12.75">
      <c r="A237" s="269"/>
      <c r="B237" s="214"/>
      <c r="C237" s="192" t="s">
        <v>384</v>
      </c>
      <c r="D237" s="192">
        <v>249500</v>
      </c>
      <c r="E237" s="192">
        <f t="shared" si="10"/>
        <v>233000</v>
      </c>
      <c r="F237" s="597">
        <f t="shared" si="9"/>
        <v>93.3867735470942</v>
      </c>
      <c r="G237" s="192">
        <f>+J237</f>
        <v>233000</v>
      </c>
      <c r="H237" s="192"/>
      <c r="I237" s="192"/>
      <c r="J237" s="224">
        <v>233000</v>
      </c>
      <c r="K237" s="192"/>
      <c r="L237" s="192"/>
    </row>
    <row r="238" spans="1:12" s="47" customFormat="1" ht="12.75">
      <c r="A238" s="269"/>
      <c r="B238" s="203">
        <v>92120</v>
      </c>
      <c r="C238" s="193" t="s">
        <v>385</v>
      </c>
      <c r="D238" s="193">
        <f>SUM(D239:D242)</f>
        <v>1150000</v>
      </c>
      <c r="E238" s="193">
        <f t="shared" si="10"/>
        <v>1300000</v>
      </c>
      <c r="F238" s="600">
        <f t="shared" si="9"/>
        <v>113.04347826086956</v>
      </c>
      <c r="G238" s="193">
        <f>SUM(G240:G241)</f>
        <v>1300000</v>
      </c>
      <c r="H238" s="193"/>
      <c r="I238" s="193"/>
      <c r="J238" s="225"/>
      <c r="K238" s="193"/>
      <c r="L238" s="193">
        <f>SUM(L239:L243)</f>
        <v>0</v>
      </c>
    </row>
    <row r="239" spans="1:12" s="47" customFormat="1" ht="12.75">
      <c r="A239" s="269"/>
      <c r="B239" s="282"/>
      <c r="C239" s="192" t="s">
        <v>386</v>
      </c>
      <c r="D239" s="192">
        <v>20000</v>
      </c>
      <c r="E239" s="192">
        <f t="shared" si="10"/>
        <v>0</v>
      </c>
      <c r="F239" s="597">
        <f t="shared" si="9"/>
        <v>0</v>
      </c>
      <c r="G239" s="192"/>
      <c r="H239" s="192"/>
      <c r="I239" s="192"/>
      <c r="J239" s="224"/>
      <c r="K239" s="192"/>
      <c r="L239" s="192"/>
    </row>
    <row r="240" spans="1:12" s="47" customFormat="1" ht="12.75">
      <c r="A240" s="269"/>
      <c r="B240" s="282"/>
      <c r="C240" s="192" t="s">
        <v>511</v>
      </c>
      <c r="D240" s="192">
        <v>1000000</v>
      </c>
      <c r="E240" s="192">
        <f t="shared" si="10"/>
        <v>1300000</v>
      </c>
      <c r="F240" s="597">
        <f t="shared" si="9"/>
        <v>130</v>
      </c>
      <c r="G240" s="192">
        <v>1300000</v>
      </c>
      <c r="H240" s="192"/>
      <c r="I240" s="192"/>
      <c r="J240" s="224"/>
      <c r="K240" s="192"/>
      <c r="L240" s="192"/>
    </row>
    <row r="241" spans="1:12" s="47" customFormat="1" ht="12.75">
      <c r="A241" s="269"/>
      <c r="B241" s="282"/>
      <c r="C241" s="192" t="s">
        <v>512</v>
      </c>
      <c r="D241" s="192">
        <v>0</v>
      </c>
      <c r="E241" s="192">
        <f t="shared" si="10"/>
        <v>0</v>
      </c>
      <c r="F241" s="597"/>
      <c r="G241" s="192">
        <f>500000-500000</f>
        <v>0</v>
      </c>
      <c r="H241" s="192"/>
      <c r="I241" s="192"/>
      <c r="J241" s="224"/>
      <c r="K241" s="192"/>
      <c r="L241" s="192"/>
    </row>
    <row r="242" spans="1:12" s="47" customFormat="1" ht="12.75">
      <c r="A242" s="269"/>
      <c r="B242" s="282"/>
      <c r="C242" s="193" t="s">
        <v>424</v>
      </c>
      <c r="D242" s="193">
        <f>+D243</f>
        <v>130000</v>
      </c>
      <c r="E242" s="192">
        <f t="shared" si="10"/>
        <v>0</v>
      </c>
      <c r="F242" s="597">
        <f t="shared" si="9"/>
        <v>0</v>
      </c>
      <c r="G242" s="192"/>
      <c r="H242" s="192"/>
      <c r="I242" s="192"/>
      <c r="J242" s="224"/>
      <c r="K242" s="192"/>
      <c r="L242" s="192"/>
    </row>
    <row r="243" spans="1:12" s="47" customFormat="1" ht="12.75">
      <c r="A243" s="269"/>
      <c r="B243" s="214"/>
      <c r="C243" s="194" t="s">
        <v>382</v>
      </c>
      <c r="D243" s="194">
        <v>130000</v>
      </c>
      <c r="E243" s="194">
        <f t="shared" si="10"/>
        <v>0</v>
      </c>
      <c r="F243" s="601">
        <f t="shared" si="9"/>
        <v>0</v>
      </c>
      <c r="G243" s="194"/>
      <c r="H243" s="194"/>
      <c r="I243" s="194"/>
      <c r="J243" s="226"/>
      <c r="K243" s="194"/>
      <c r="L243" s="194"/>
    </row>
    <row r="244" spans="1:12" s="47" customFormat="1" ht="12.75">
      <c r="A244" s="269"/>
      <c r="B244" s="203">
        <v>92195</v>
      </c>
      <c r="C244" s="193" t="s">
        <v>278</v>
      </c>
      <c r="D244" s="193">
        <f>SUM(D245:D246)</f>
        <v>215182</v>
      </c>
      <c r="E244" s="193">
        <f t="shared" si="10"/>
        <v>15000</v>
      </c>
      <c r="F244" s="600">
        <f t="shared" si="9"/>
        <v>6.970843286148469</v>
      </c>
      <c r="G244" s="193">
        <f>+G245</f>
        <v>15000</v>
      </c>
      <c r="H244" s="193"/>
      <c r="I244" s="193"/>
      <c r="J244" s="225"/>
      <c r="K244" s="193"/>
      <c r="L244" s="193"/>
    </row>
    <row r="245" spans="1:12" s="47" customFormat="1" ht="25.5">
      <c r="A245" s="269"/>
      <c r="B245" s="282"/>
      <c r="C245" s="192" t="s">
        <v>422</v>
      </c>
      <c r="D245" s="192">
        <v>115182</v>
      </c>
      <c r="E245" s="192">
        <f t="shared" si="10"/>
        <v>15000</v>
      </c>
      <c r="F245" s="597">
        <f t="shared" si="9"/>
        <v>13.022868156482783</v>
      </c>
      <c r="G245" s="192">
        <v>15000</v>
      </c>
      <c r="H245" s="192"/>
      <c r="I245" s="192"/>
      <c r="J245" s="224"/>
      <c r="K245" s="192"/>
      <c r="L245" s="192"/>
    </row>
    <row r="246" spans="1:12" s="47" customFormat="1" ht="12.75">
      <c r="A246" s="183"/>
      <c r="B246" s="211"/>
      <c r="C246" s="192" t="s">
        <v>423</v>
      </c>
      <c r="D246" s="192">
        <v>100000</v>
      </c>
      <c r="E246" s="192">
        <f t="shared" si="10"/>
        <v>0</v>
      </c>
      <c r="F246" s="597">
        <f t="shared" si="9"/>
        <v>0</v>
      </c>
      <c r="G246" s="192"/>
      <c r="H246" s="192"/>
      <c r="I246" s="192"/>
      <c r="J246" s="224"/>
      <c r="K246" s="192"/>
      <c r="L246" s="192"/>
    </row>
    <row r="247" spans="1:12" s="47" customFormat="1" ht="15.75">
      <c r="A247" s="384">
        <v>926</v>
      </c>
      <c r="B247" s="387"/>
      <c r="C247" s="362" t="s">
        <v>387</v>
      </c>
      <c r="D247" s="362">
        <f>+D248+D250+D260</f>
        <v>2004300</v>
      </c>
      <c r="E247" s="362">
        <v>1808400</v>
      </c>
      <c r="F247" s="594">
        <f t="shared" si="9"/>
        <v>90.22601406975004</v>
      </c>
      <c r="G247" s="362">
        <f>+G248+G250+G260</f>
        <v>708400</v>
      </c>
      <c r="H247" s="362">
        <f>+H248+H250+H260</f>
        <v>0</v>
      </c>
      <c r="I247" s="362">
        <f>+I248+I250+I260</f>
        <v>0</v>
      </c>
      <c r="J247" s="392">
        <f>+J248+J250+J260</f>
        <v>708400</v>
      </c>
      <c r="K247" s="362"/>
      <c r="L247" s="362">
        <f>+L248+L250+L260</f>
        <v>1100000</v>
      </c>
    </row>
    <row r="248" spans="1:12" s="47" customFormat="1" ht="12.75">
      <c r="A248" s="182"/>
      <c r="B248" s="203">
        <v>92601</v>
      </c>
      <c r="C248" s="190" t="s">
        <v>388</v>
      </c>
      <c r="D248" s="190">
        <f>+D249</f>
        <v>305000</v>
      </c>
      <c r="E248" s="190">
        <f t="shared" si="10"/>
        <v>319400</v>
      </c>
      <c r="F248" s="595">
        <f t="shared" si="9"/>
        <v>104.72131147540983</v>
      </c>
      <c r="G248" s="190">
        <f>+G249</f>
        <v>319400</v>
      </c>
      <c r="H248" s="190"/>
      <c r="I248" s="190"/>
      <c r="J248" s="393">
        <f>+J249</f>
        <v>319400</v>
      </c>
      <c r="K248" s="190"/>
      <c r="L248" s="190"/>
    </row>
    <row r="249" spans="1:12" s="47" customFormat="1" ht="12.75">
      <c r="A249" s="269"/>
      <c r="B249" s="214"/>
      <c r="C249" s="192" t="s">
        <v>389</v>
      </c>
      <c r="D249" s="192">
        <v>305000</v>
      </c>
      <c r="E249" s="192">
        <f t="shared" si="10"/>
        <v>319400</v>
      </c>
      <c r="F249" s="597">
        <f t="shared" si="9"/>
        <v>104.72131147540983</v>
      </c>
      <c r="G249" s="192">
        <f>+J249</f>
        <v>319400</v>
      </c>
      <c r="H249" s="192"/>
      <c r="I249" s="192"/>
      <c r="J249" s="224">
        <v>319400</v>
      </c>
      <c r="K249" s="192"/>
      <c r="L249" s="192"/>
    </row>
    <row r="250" spans="1:12" s="47" customFormat="1" ht="25.5">
      <c r="A250" s="182"/>
      <c r="B250" s="203">
        <v>92605</v>
      </c>
      <c r="C250" s="190" t="s">
        <v>390</v>
      </c>
      <c r="D250" s="190">
        <f>SUM(D251:D251)</f>
        <v>389000</v>
      </c>
      <c r="E250" s="190">
        <v>389000</v>
      </c>
      <c r="F250" s="595">
        <f t="shared" si="9"/>
        <v>100</v>
      </c>
      <c r="G250" s="190">
        <v>389000</v>
      </c>
      <c r="H250" s="190">
        <f>SUM(H251:H259)</f>
        <v>0</v>
      </c>
      <c r="I250" s="190">
        <f>SUM(I251:I259)</f>
        <v>0</v>
      </c>
      <c r="J250" s="393">
        <v>389000</v>
      </c>
      <c r="K250" s="190">
        <f>SUM(K251:K259)</f>
        <v>0</v>
      </c>
      <c r="L250" s="190">
        <f>SUM(L251:L259)</f>
        <v>0</v>
      </c>
    </row>
    <row r="251" spans="1:12" s="47" customFormat="1" ht="12.75">
      <c r="A251" s="269"/>
      <c r="B251" s="282"/>
      <c r="C251" s="190" t="s">
        <v>391</v>
      </c>
      <c r="D251" s="190">
        <f>SUM(D252:D259)</f>
        <v>389000</v>
      </c>
      <c r="E251" s="190">
        <v>389000</v>
      </c>
      <c r="F251" s="595"/>
      <c r="G251" s="190">
        <v>389000</v>
      </c>
      <c r="H251" s="190"/>
      <c r="I251" s="190"/>
      <c r="J251" s="393">
        <v>389000</v>
      </c>
      <c r="K251" s="188"/>
      <c r="L251" s="188"/>
    </row>
    <row r="252" spans="1:12" s="47" customFormat="1" ht="25.5">
      <c r="A252" s="269"/>
      <c r="B252" s="282"/>
      <c r="C252" s="188" t="s">
        <v>529</v>
      </c>
      <c r="D252" s="188">
        <v>200000</v>
      </c>
      <c r="E252" s="188">
        <v>200000</v>
      </c>
      <c r="F252" s="596">
        <f t="shared" si="9"/>
        <v>100</v>
      </c>
      <c r="G252" s="188">
        <v>200000</v>
      </c>
      <c r="H252" s="188"/>
      <c r="I252" s="188"/>
      <c r="J252" s="188">
        <v>200000</v>
      </c>
      <c r="K252" s="188"/>
      <c r="L252" s="188"/>
    </row>
    <row r="253" spans="1:12" s="47" customFormat="1" ht="12.75">
      <c r="A253" s="269"/>
      <c r="B253" s="282"/>
      <c r="C253" s="188" t="s">
        <v>392</v>
      </c>
      <c r="D253" s="188">
        <v>50000</v>
      </c>
      <c r="E253" s="188">
        <v>50000</v>
      </c>
      <c r="F253" s="596">
        <f t="shared" si="9"/>
        <v>100</v>
      </c>
      <c r="G253" s="188">
        <f aca="true" t="shared" si="11" ref="G253:G259">+J253</f>
        <v>50000</v>
      </c>
      <c r="H253" s="188"/>
      <c r="I253" s="188"/>
      <c r="J253" s="188">
        <v>50000</v>
      </c>
      <c r="K253" s="188"/>
      <c r="L253" s="188"/>
    </row>
    <row r="254" spans="1:12" s="47" customFormat="1" ht="12.75">
      <c r="A254" s="269"/>
      <c r="B254" s="282"/>
      <c r="C254" s="188" t="s">
        <v>453</v>
      </c>
      <c r="D254" s="188">
        <v>45000</v>
      </c>
      <c r="E254" s="188">
        <v>45000</v>
      </c>
      <c r="F254" s="596">
        <f t="shared" si="9"/>
        <v>100</v>
      </c>
      <c r="G254" s="188">
        <f t="shared" si="11"/>
        <v>45000</v>
      </c>
      <c r="H254" s="188"/>
      <c r="I254" s="188"/>
      <c r="J254" s="188">
        <v>45000</v>
      </c>
      <c r="K254" s="188"/>
      <c r="L254" s="188"/>
    </row>
    <row r="255" spans="1:12" s="47" customFormat="1" ht="12.75">
      <c r="A255" s="269"/>
      <c r="B255" s="282"/>
      <c r="C255" s="188" t="s">
        <v>394</v>
      </c>
      <c r="D255" s="188">
        <v>22000</v>
      </c>
      <c r="E255" s="188">
        <v>22000</v>
      </c>
      <c r="F255" s="596">
        <f t="shared" si="9"/>
        <v>100</v>
      </c>
      <c r="G255" s="188">
        <f t="shared" si="11"/>
        <v>22000</v>
      </c>
      <c r="H255" s="188"/>
      <c r="I255" s="188"/>
      <c r="J255" s="188">
        <v>22000</v>
      </c>
      <c r="K255" s="188"/>
      <c r="L255" s="188"/>
    </row>
    <row r="256" spans="1:12" s="47" customFormat="1" ht="12.75">
      <c r="A256" s="269"/>
      <c r="B256" s="282"/>
      <c r="C256" s="188" t="s">
        <v>395</v>
      </c>
      <c r="D256" s="188">
        <v>12000</v>
      </c>
      <c r="E256" s="188">
        <v>12000</v>
      </c>
      <c r="F256" s="596">
        <f t="shared" si="9"/>
        <v>100</v>
      </c>
      <c r="G256" s="188">
        <f t="shared" si="11"/>
        <v>12000</v>
      </c>
      <c r="H256" s="188"/>
      <c r="I256" s="188"/>
      <c r="J256" s="188">
        <v>12000</v>
      </c>
      <c r="K256" s="188"/>
      <c r="L256" s="188"/>
    </row>
    <row r="257" spans="1:12" s="47" customFormat="1" ht="25.5">
      <c r="A257" s="269"/>
      <c r="B257" s="282"/>
      <c r="C257" s="188" t="s">
        <v>553</v>
      </c>
      <c r="D257" s="188">
        <v>45000</v>
      </c>
      <c r="E257" s="188">
        <v>45000</v>
      </c>
      <c r="F257" s="596">
        <f t="shared" si="9"/>
        <v>100</v>
      </c>
      <c r="G257" s="188">
        <f t="shared" si="11"/>
        <v>45000</v>
      </c>
      <c r="H257" s="188"/>
      <c r="I257" s="188"/>
      <c r="J257" s="188">
        <v>45000</v>
      </c>
      <c r="K257" s="188"/>
      <c r="L257" s="188"/>
    </row>
    <row r="258" spans="1:12" s="47" customFormat="1" ht="12.75">
      <c r="A258" s="269"/>
      <c r="B258" s="282"/>
      <c r="C258" s="188" t="s">
        <v>396</v>
      </c>
      <c r="D258" s="188">
        <v>10000</v>
      </c>
      <c r="E258" s="188">
        <v>10000</v>
      </c>
      <c r="F258" s="596">
        <f t="shared" si="9"/>
        <v>100</v>
      </c>
      <c r="G258" s="188">
        <f t="shared" si="11"/>
        <v>10000</v>
      </c>
      <c r="H258" s="188"/>
      <c r="I258" s="188"/>
      <c r="J258" s="188">
        <v>10000</v>
      </c>
      <c r="K258" s="188"/>
      <c r="L258" s="188"/>
    </row>
    <row r="259" spans="1:12" s="47" customFormat="1" ht="12.75">
      <c r="A259" s="269"/>
      <c r="B259" s="214"/>
      <c r="C259" s="188" t="s">
        <v>393</v>
      </c>
      <c r="D259" s="188">
        <v>5000</v>
      </c>
      <c r="E259" s="188">
        <v>5000</v>
      </c>
      <c r="F259" s="596">
        <f t="shared" si="9"/>
        <v>100</v>
      </c>
      <c r="G259" s="188">
        <f t="shared" si="11"/>
        <v>5000</v>
      </c>
      <c r="H259" s="188"/>
      <c r="I259" s="188"/>
      <c r="J259" s="188">
        <v>5000</v>
      </c>
      <c r="K259" s="188"/>
      <c r="L259" s="188"/>
    </row>
    <row r="260" spans="1:12" s="47" customFormat="1" ht="12.75">
      <c r="A260" s="269"/>
      <c r="B260" s="203">
        <v>92695</v>
      </c>
      <c r="C260" s="190" t="s">
        <v>278</v>
      </c>
      <c r="D260" s="190">
        <f>SUM(D261:D263)</f>
        <v>1310300</v>
      </c>
      <c r="E260" s="190">
        <f t="shared" si="10"/>
        <v>1100000</v>
      </c>
      <c r="F260" s="595">
        <f t="shared" si="9"/>
        <v>83.95024040296116</v>
      </c>
      <c r="G260" s="190">
        <f>SUM(G261:G262)</f>
        <v>0</v>
      </c>
      <c r="H260" s="190"/>
      <c r="I260" s="190"/>
      <c r="J260" s="190"/>
      <c r="K260" s="190"/>
      <c r="L260" s="190">
        <f>SUM(L261:L263)</f>
        <v>1100000</v>
      </c>
    </row>
    <row r="261" spans="1:12" s="47" customFormat="1" ht="12.75">
      <c r="A261" s="269"/>
      <c r="B261" s="210"/>
      <c r="C261" s="188" t="s">
        <v>461</v>
      </c>
      <c r="D261" s="188">
        <v>40000</v>
      </c>
      <c r="E261" s="188">
        <f t="shared" si="10"/>
        <v>0</v>
      </c>
      <c r="F261" s="596">
        <f t="shared" si="9"/>
        <v>0</v>
      </c>
      <c r="G261" s="188"/>
      <c r="H261" s="190"/>
      <c r="I261" s="190"/>
      <c r="J261" s="190"/>
      <c r="K261" s="190"/>
      <c r="L261" s="190"/>
    </row>
    <row r="262" spans="1:12" s="47" customFormat="1" ht="25.5">
      <c r="A262" s="269"/>
      <c r="B262" s="282"/>
      <c r="C262" s="188" t="s">
        <v>397</v>
      </c>
      <c r="D262" s="188">
        <v>10300</v>
      </c>
      <c r="E262" s="188">
        <f t="shared" si="10"/>
        <v>0</v>
      </c>
      <c r="F262" s="596">
        <f t="shared" si="9"/>
        <v>0</v>
      </c>
      <c r="G262" s="188"/>
      <c r="H262" s="188"/>
      <c r="I262" s="188"/>
      <c r="J262" s="188"/>
      <c r="K262" s="188"/>
      <c r="L262" s="188"/>
    </row>
    <row r="263" spans="1:12" s="47" customFormat="1" ht="12.75">
      <c r="A263" s="269"/>
      <c r="B263" s="282"/>
      <c r="C263" s="190" t="s">
        <v>423</v>
      </c>
      <c r="D263" s="190">
        <f>SUM(D264:D269)</f>
        <v>1260000</v>
      </c>
      <c r="E263" s="190">
        <f>SUM(E264:E269)</f>
        <v>1100000</v>
      </c>
      <c r="F263" s="595">
        <f t="shared" si="9"/>
        <v>87.3015873015873</v>
      </c>
      <c r="G263" s="190"/>
      <c r="H263" s="190"/>
      <c r="I263" s="190"/>
      <c r="J263" s="190"/>
      <c r="K263" s="190"/>
      <c r="L263" s="190">
        <f>SUM(L264:L269)</f>
        <v>1100000</v>
      </c>
    </row>
    <row r="264" spans="1:12" s="47" customFormat="1" ht="12.75">
      <c r="A264" s="269"/>
      <c r="B264" s="282"/>
      <c r="C264" s="188" t="s">
        <v>514</v>
      </c>
      <c r="D264" s="188">
        <v>0</v>
      </c>
      <c r="E264" s="188">
        <f t="shared" si="10"/>
        <v>400000</v>
      </c>
      <c r="F264" s="596"/>
      <c r="G264" s="188"/>
      <c r="H264" s="188"/>
      <c r="I264" s="188"/>
      <c r="J264" s="188"/>
      <c r="K264" s="188"/>
      <c r="L264" s="188">
        <v>400000</v>
      </c>
    </row>
    <row r="265" spans="1:12" s="47" customFormat="1" ht="25.5">
      <c r="A265" s="269"/>
      <c r="B265" s="282"/>
      <c r="C265" s="227" t="s">
        <v>684</v>
      </c>
      <c r="D265" s="227">
        <v>0</v>
      </c>
      <c r="E265" s="227">
        <f t="shared" si="10"/>
        <v>400000</v>
      </c>
      <c r="F265" s="611"/>
      <c r="G265" s="227"/>
      <c r="H265" s="227"/>
      <c r="I265" s="227"/>
      <c r="J265" s="227"/>
      <c r="K265" s="227"/>
      <c r="L265" s="227">
        <v>400000</v>
      </c>
    </row>
    <row r="266" spans="1:12" s="47" customFormat="1" ht="12.75">
      <c r="A266" s="269"/>
      <c r="B266" s="282"/>
      <c r="C266" s="188" t="s">
        <v>683</v>
      </c>
      <c r="D266" s="188">
        <v>0</v>
      </c>
      <c r="E266" s="188">
        <f t="shared" si="10"/>
        <v>300000</v>
      </c>
      <c r="F266" s="596"/>
      <c r="G266" s="188"/>
      <c r="H266" s="188"/>
      <c r="I266" s="188"/>
      <c r="J266" s="188"/>
      <c r="K266" s="188"/>
      <c r="L266" s="188">
        <v>300000</v>
      </c>
    </row>
    <row r="267" spans="1:12" s="47" customFormat="1" ht="12.75">
      <c r="A267" s="269"/>
      <c r="B267" s="282"/>
      <c r="C267" s="188" t="s">
        <v>547</v>
      </c>
      <c r="D267" s="188">
        <v>410000</v>
      </c>
      <c r="E267" s="188"/>
      <c r="F267" s="596"/>
      <c r="G267" s="188"/>
      <c r="H267" s="188"/>
      <c r="I267" s="188"/>
      <c r="J267" s="188"/>
      <c r="K267" s="188"/>
      <c r="L267" s="188"/>
    </row>
    <row r="268" spans="1:12" s="47" customFormat="1" ht="12.75">
      <c r="A268" s="269"/>
      <c r="B268" s="282"/>
      <c r="C268" s="188" t="s">
        <v>546</v>
      </c>
      <c r="D268" s="188">
        <v>450000</v>
      </c>
      <c r="E268" s="188"/>
      <c r="F268" s="596"/>
      <c r="G268" s="188"/>
      <c r="H268" s="188"/>
      <c r="I268" s="188"/>
      <c r="J268" s="188"/>
      <c r="K268" s="188"/>
      <c r="L268" s="188"/>
    </row>
    <row r="269" spans="1:12" s="47" customFormat="1" ht="12.75">
      <c r="A269" s="183"/>
      <c r="B269" s="211"/>
      <c r="C269" s="378" t="s">
        <v>599</v>
      </c>
      <c r="D269" s="200">
        <v>400000</v>
      </c>
      <c r="E269" s="200">
        <f t="shared" si="10"/>
        <v>0</v>
      </c>
      <c r="F269" s="612">
        <f t="shared" si="9"/>
        <v>0</v>
      </c>
      <c r="G269" s="200"/>
      <c r="H269" s="200"/>
      <c r="I269" s="200"/>
      <c r="J269" s="200"/>
      <c r="K269" s="200"/>
      <c r="L269" s="200"/>
    </row>
    <row r="270" spans="1:12" s="47" customFormat="1" ht="15.75">
      <c r="A270" s="184"/>
      <c r="B270" s="212"/>
      <c r="C270" s="676" t="s">
        <v>399</v>
      </c>
      <c r="D270" s="676"/>
      <c r="E270" s="676"/>
      <c r="F270" s="676"/>
      <c r="G270" s="676"/>
      <c r="H270" s="676"/>
      <c r="I270" s="676"/>
      <c r="J270" s="676"/>
      <c r="K270" s="676"/>
      <c r="L270" s="677"/>
    </row>
    <row r="271" spans="1:12" s="47" customFormat="1" ht="15.75">
      <c r="A271" s="394" t="s">
        <v>502</v>
      </c>
      <c r="B271" s="387"/>
      <c r="C271" s="362" t="s">
        <v>252</v>
      </c>
      <c r="D271" s="362">
        <f>+D272</f>
        <v>30551</v>
      </c>
      <c r="E271" s="362">
        <f>+G271+L271</f>
        <v>0</v>
      </c>
      <c r="F271" s="613">
        <f t="shared" si="9"/>
        <v>0</v>
      </c>
      <c r="G271" s="362">
        <f aca="true" t="shared" si="12" ref="G271:I272">+G272</f>
        <v>0</v>
      </c>
      <c r="H271" s="362">
        <f t="shared" si="12"/>
        <v>0</v>
      </c>
      <c r="I271" s="362">
        <f t="shared" si="12"/>
        <v>0</v>
      </c>
      <c r="J271" s="362"/>
      <c r="K271" s="362"/>
      <c r="L271" s="362"/>
    </row>
    <row r="272" spans="1:12" s="47" customFormat="1" ht="12.75">
      <c r="A272" s="269"/>
      <c r="B272" s="395" t="s">
        <v>532</v>
      </c>
      <c r="C272" s="193" t="s">
        <v>278</v>
      </c>
      <c r="D272" s="190">
        <f>+D273</f>
        <v>30551</v>
      </c>
      <c r="E272" s="190">
        <f>+G272+L272</f>
        <v>0</v>
      </c>
      <c r="F272" s="597">
        <f t="shared" si="9"/>
        <v>0</v>
      </c>
      <c r="G272" s="190">
        <f t="shared" si="12"/>
        <v>0</v>
      </c>
      <c r="H272" s="190">
        <f t="shared" si="12"/>
        <v>0</v>
      </c>
      <c r="I272" s="190">
        <f t="shared" si="12"/>
        <v>0</v>
      </c>
      <c r="J272" s="190"/>
      <c r="K272" s="188"/>
      <c r="L272" s="188"/>
    </row>
    <row r="273" spans="1:12" s="47" customFormat="1" ht="12.75">
      <c r="A273" s="183"/>
      <c r="B273" s="211"/>
      <c r="C273" s="189" t="s">
        <v>533</v>
      </c>
      <c r="D273" s="189">
        <v>30551</v>
      </c>
      <c r="E273" s="189">
        <f>+G273+L273</f>
        <v>0</v>
      </c>
      <c r="F273" s="602">
        <f t="shared" si="9"/>
        <v>0</v>
      </c>
      <c r="G273" s="189"/>
      <c r="H273" s="189"/>
      <c r="I273" s="189"/>
      <c r="J273" s="189"/>
      <c r="K273" s="189"/>
      <c r="L273" s="189"/>
    </row>
    <row r="274" spans="1:12" s="47" customFormat="1" ht="15.75">
      <c r="A274" s="384">
        <v>750</v>
      </c>
      <c r="B274" s="387"/>
      <c r="C274" s="362" t="s">
        <v>285</v>
      </c>
      <c r="D274" s="362">
        <v>119973</v>
      </c>
      <c r="E274" s="362">
        <v>120780</v>
      </c>
      <c r="F274" s="614">
        <f t="shared" si="9"/>
        <v>100.67265134655297</v>
      </c>
      <c r="G274" s="362">
        <v>120780</v>
      </c>
      <c r="H274" s="362">
        <v>115000</v>
      </c>
      <c r="I274" s="362">
        <v>5780</v>
      </c>
      <c r="J274" s="362"/>
      <c r="K274" s="362"/>
      <c r="L274" s="362">
        <v>0</v>
      </c>
    </row>
    <row r="275" spans="1:12" s="47" customFormat="1" ht="12.75">
      <c r="A275" s="269"/>
      <c r="B275" s="203">
        <v>75011</v>
      </c>
      <c r="C275" s="190" t="s">
        <v>400</v>
      </c>
      <c r="D275" s="190">
        <v>119973</v>
      </c>
      <c r="E275" s="190">
        <v>120780</v>
      </c>
      <c r="F275" s="596">
        <f t="shared" si="9"/>
        <v>100.67265134655297</v>
      </c>
      <c r="G275" s="190">
        <v>120780</v>
      </c>
      <c r="H275" s="190">
        <v>115000</v>
      </c>
      <c r="I275" s="190">
        <v>5780</v>
      </c>
      <c r="J275" s="190"/>
      <c r="K275" s="188"/>
      <c r="L275" s="188"/>
    </row>
    <row r="276" spans="1:12" s="47" customFormat="1" ht="12.75">
      <c r="A276" s="183"/>
      <c r="B276" s="211"/>
      <c r="C276" s="192" t="s">
        <v>401</v>
      </c>
      <c r="D276" s="192">
        <v>119973</v>
      </c>
      <c r="E276" s="192">
        <v>120780</v>
      </c>
      <c r="F276" s="597">
        <f t="shared" si="9"/>
        <v>100.67265134655297</v>
      </c>
      <c r="G276" s="192">
        <v>120780</v>
      </c>
      <c r="H276" s="192">
        <v>115000</v>
      </c>
      <c r="I276" s="192">
        <v>5780</v>
      </c>
      <c r="J276" s="192"/>
      <c r="K276" s="192"/>
      <c r="L276" s="192"/>
    </row>
    <row r="277" spans="1:12" s="47" customFormat="1" ht="47.25">
      <c r="A277" s="384">
        <v>751</v>
      </c>
      <c r="B277" s="387"/>
      <c r="C277" s="362" t="s">
        <v>604</v>
      </c>
      <c r="D277" s="362">
        <f>+D278+D280</f>
        <v>9179</v>
      </c>
      <c r="E277" s="362">
        <f>+G277+L277</f>
        <v>3596</v>
      </c>
      <c r="F277" s="614">
        <f aca="true" t="shared" si="13" ref="F277:F295">+E277/D277*100</f>
        <v>39.17638086937575</v>
      </c>
      <c r="G277" s="362">
        <f>+G278</f>
        <v>3596</v>
      </c>
      <c r="H277" s="362">
        <v>2990</v>
      </c>
      <c r="I277" s="362">
        <v>606</v>
      </c>
      <c r="J277" s="362"/>
      <c r="K277" s="388"/>
      <c r="L277" s="388">
        <v>0</v>
      </c>
    </row>
    <row r="278" spans="1:12" s="47" customFormat="1" ht="25.5">
      <c r="A278" s="269"/>
      <c r="B278" s="203">
        <v>75101</v>
      </c>
      <c r="C278" s="190" t="s">
        <v>636</v>
      </c>
      <c r="D278" s="190">
        <v>3483</v>
      </c>
      <c r="E278" s="190">
        <v>3596</v>
      </c>
      <c r="F278" s="597">
        <f t="shared" si="13"/>
        <v>103.24432960091873</v>
      </c>
      <c r="G278" s="190">
        <v>3596</v>
      </c>
      <c r="H278" s="190">
        <v>2990</v>
      </c>
      <c r="I278" s="190">
        <v>606</v>
      </c>
      <c r="J278" s="190"/>
      <c r="K278" s="188"/>
      <c r="L278" s="188"/>
    </row>
    <row r="279" spans="1:12" s="47" customFormat="1" ht="25.5">
      <c r="A279" s="269"/>
      <c r="B279" s="214"/>
      <c r="C279" s="379" t="s">
        <v>711</v>
      </c>
      <c r="D279" s="379">
        <v>3483</v>
      </c>
      <c r="E279" s="379">
        <v>3596</v>
      </c>
      <c r="F279" s="596">
        <f t="shared" si="13"/>
        <v>103.24432960091873</v>
      </c>
      <c r="G279" s="379">
        <v>3596</v>
      </c>
      <c r="H279" s="379">
        <v>2990</v>
      </c>
      <c r="I279" s="379">
        <v>606</v>
      </c>
      <c r="J279" s="379"/>
      <c r="K279" s="379"/>
      <c r="L279" s="379"/>
    </row>
    <row r="280" spans="1:12" s="47" customFormat="1" ht="12.75">
      <c r="A280" s="183"/>
      <c r="B280" s="213">
        <v>75108</v>
      </c>
      <c r="C280" s="365" t="s">
        <v>540</v>
      </c>
      <c r="D280" s="365">
        <v>5696</v>
      </c>
      <c r="E280" s="396">
        <f>+G280+L280</f>
        <v>0</v>
      </c>
      <c r="F280" s="615">
        <f t="shared" si="13"/>
        <v>0</v>
      </c>
      <c r="G280" s="365"/>
      <c r="H280" s="365"/>
      <c r="I280" s="365"/>
      <c r="J280" s="365"/>
      <c r="K280" s="365"/>
      <c r="L280" s="365"/>
    </row>
    <row r="281" spans="1:12" s="47" customFormat="1" ht="15.75">
      <c r="A281" s="361">
        <v>752</v>
      </c>
      <c r="B281" s="359"/>
      <c r="C281" s="360" t="s">
        <v>402</v>
      </c>
      <c r="D281" s="362">
        <f>+D282</f>
        <v>1000</v>
      </c>
      <c r="E281" s="362">
        <v>1000</v>
      </c>
      <c r="F281" s="614">
        <f t="shared" si="13"/>
        <v>100</v>
      </c>
      <c r="G281" s="362">
        <v>1000</v>
      </c>
      <c r="H281" s="362"/>
      <c r="I281" s="362"/>
      <c r="J281" s="362"/>
      <c r="K281" s="388"/>
      <c r="L281" s="388">
        <v>0</v>
      </c>
    </row>
    <row r="282" spans="1:12" s="47" customFormat="1" ht="12.75">
      <c r="A282" s="181"/>
      <c r="B282" s="208">
        <v>75212</v>
      </c>
      <c r="C282" s="187" t="s">
        <v>403</v>
      </c>
      <c r="D282" s="190">
        <v>1000</v>
      </c>
      <c r="E282" s="190">
        <v>1000</v>
      </c>
      <c r="F282" s="602">
        <f t="shared" si="13"/>
        <v>100</v>
      </c>
      <c r="G282" s="190">
        <v>1000</v>
      </c>
      <c r="H282" s="190"/>
      <c r="I282" s="190"/>
      <c r="J282" s="190"/>
      <c r="K282" s="188"/>
      <c r="L282" s="188"/>
    </row>
    <row r="283" spans="1:12" s="47" customFormat="1" ht="12.75">
      <c r="A283" s="266"/>
      <c r="B283" s="218"/>
      <c r="C283" s="195" t="s">
        <v>404</v>
      </c>
      <c r="D283" s="192">
        <v>1000</v>
      </c>
      <c r="E283" s="192">
        <v>1000</v>
      </c>
      <c r="F283" s="616">
        <f t="shared" si="13"/>
        <v>100</v>
      </c>
      <c r="G283" s="192">
        <v>1000</v>
      </c>
      <c r="H283" s="192"/>
      <c r="I283" s="192"/>
      <c r="J283" s="192"/>
      <c r="K283" s="192"/>
      <c r="L283" s="192"/>
    </row>
    <row r="284" spans="1:12" s="47" customFormat="1" ht="31.5">
      <c r="A284" s="361">
        <v>754</v>
      </c>
      <c r="B284" s="359"/>
      <c r="C284" s="360" t="s">
        <v>330</v>
      </c>
      <c r="D284" s="362">
        <f>+D285</f>
        <v>700</v>
      </c>
      <c r="E284" s="362">
        <v>1000</v>
      </c>
      <c r="F284" s="617">
        <f t="shared" si="13"/>
        <v>142.85714285714286</v>
      </c>
      <c r="G284" s="362">
        <v>1000</v>
      </c>
      <c r="H284" s="362"/>
      <c r="I284" s="362"/>
      <c r="J284" s="362"/>
      <c r="K284" s="362"/>
      <c r="L284" s="362">
        <v>0</v>
      </c>
    </row>
    <row r="285" spans="1:12" s="47" customFormat="1" ht="12.75">
      <c r="A285" s="180"/>
      <c r="B285" s="208">
        <v>75414</v>
      </c>
      <c r="C285" s="187" t="s">
        <v>405</v>
      </c>
      <c r="D285" s="190">
        <v>700</v>
      </c>
      <c r="E285" s="190">
        <v>1000</v>
      </c>
      <c r="F285" s="596">
        <f t="shared" si="13"/>
        <v>142.85714285714286</v>
      </c>
      <c r="G285" s="190">
        <v>1000</v>
      </c>
      <c r="H285" s="190"/>
      <c r="I285" s="190"/>
      <c r="J285" s="190"/>
      <c r="K285" s="188"/>
      <c r="L285" s="188"/>
    </row>
    <row r="286" spans="1:12" s="47" customFormat="1" ht="12.75">
      <c r="A286" s="180"/>
      <c r="B286" s="281"/>
      <c r="C286" s="186" t="s">
        <v>404</v>
      </c>
      <c r="D286" s="188">
        <v>700</v>
      </c>
      <c r="E286" s="188">
        <v>1000</v>
      </c>
      <c r="F286" s="597">
        <f t="shared" si="13"/>
        <v>142.85714285714286</v>
      </c>
      <c r="G286" s="188">
        <v>1000</v>
      </c>
      <c r="H286" s="188"/>
      <c r="I286" s="188"/>
      <c r="J286" s="188"/>
      <c r="K286" s="188"/>
      <c r="L286" s="188"/>
    </row>
    <row r="287" spans="1:12" s="47" customFormat="1" ht="12.75">
      <c r="A287" s="266"/>
      <c r="B287" s="218"/>
      <c r="C287" s="198" t="s">
        <v>423</v>
      </c>
      <c r="D287" s="189">
        <v>0</v>
      </c>
      <c r="E287" s="189">
        <f>+G287+L287</f>
        <v>0</v>
      </c>
      <c r="F287" s="602"/>
      <c r="G287" s="189"/>
      <c r="H287" s="189"/>
      <c r="I287" s="189"/>
      <c r="J287" s="189"/>
      <c r="K287" s="189"/>
      <c r="L287" s="189"/>
    </row>
    <row r="288" spans="1:12" s="47" customFormat="1" ht="15.75">
      <c r="A288" s="361">
        <v>852</v>
      </c>
      <c r="B288" s="359"/>
      <c r="C288" s="360" t="s">
        <v>338</v>
      </c>
      <c r="D288" s="362">
        <f>SUM(D289:D291)</f>
        <v>5061000</v>
      </c>
      <c r="E288" s="362">
        <f>+G288+L288</f>
        <v>5139000</v>
      </c>
      <c r="F288" s="614">
        <f t="shared" si="13"/>
        <v>101.5411973918198</v>
      </c>
      <c r="G288" s="362">
        <f>+G289+G290+G291</f>
        <v>5139000</v>
      </c>
      <c r="H288" s="362">
        <f>+H289+H290+H291</f>
        <v>90755</v>
      </c>
      <c r="I288" s="362">
        <f>+I289+I290+I291</f>
        <v>14425</v>
      </c>
      <c r="J288" s="362"/>
      <c r="K288" s="388"/>
      <c r="L288" s="388">
        <v>0</v>
      </c>
    </row>
    <row r="289" spans="1:12" s="47" customFormat="1" ht="25.5">
      <c r="A289" s="180"/>
      <c r="B289" s="206">
        <v>85212</v>
      </c>
      <c r="C289" s="186" t="s">
        <v>406</v>
      </c>
      <c r="D289" s="188">
        <v>4672000</v>
      </c>
      <c r="E289" s="188">
        <v>4736000</v>
      </c>
      <c r="F289" s="596">
        <f t="shared" si="13"/>
        <v>101.36986301369863</v>
      </c>
      <c r="G289" s="188">
        <v>4736000</v>
      </c>
      <c r="H289" s="188">
        <v>90755</v>
      </c>
      <c r="I289" s="188">
        <v>14425</v>
      </c>
      <c r="J289" s="188"/>
      <c r="K289" s="188"/>
      <c r="L289" s="188"/>
    </row>
    <row r="290" spans="1:12" s="47" customFormat="1" ht="38.25">
      <c r="A290" s="180"/>
      <c r="B290" s="206">
        <v>85213</v>
      </c>
      <c r="C290" s="186" t="s">
        <v>600</v>
      </c>
      <c r="D290" s="188">
        <v>42000</v>
      </c>
      <c r="E290" s="188">
        <v>40000</v>
      </c>
      <c r="F290" s="597">
        <f t="shared" si="13"/>
        <v>95.23809523809523</v>
      </c>
      <c r="G290" s="188">
        <v>40000</v>
      </c>
      <c r="H290" s="188"/>
      <c r="I290" s="188"/>
      <c r="J290" s="188"/>
      <c r="K290" s="188"/>
      <c r="L290" s="188"/>
    </row>
    <row r="291" spans="1:12" s="47" customFormat="1" ht="25.5">
      <c r="A291" s="266"/>
      <c r="B291" s="208">
        <v>85214</v>
      </c>
      <c r="C291" s="195" t="s">
        <v>407</v>
      </c>
      <c r="D291" s="192">
        <f>843000-496000</f>
        <v>347000</v>
      </c>
      <c r="E291" s="188">
        <v>363000</v>
      </c>
      <c r="F291" s="597">
        <f t="shared" si="13"/>
        <v>104.61095100864553</v>
      </c>
      <c r="G291" s="188">
        <v>363000</v>
      </c>
      <c r="H291" s="188"/>
      <c r="I291" s="188"/>
      <c r="J291" s="188"/>
      <c r="K291" s="188"/>
      <c r="L291" s="188"/>
    </row>
    <row r="292" spans="1:12" s="47" customFormat="1" ht="12.75">
      <c r="A292" s="201"/>
      <c r="B292" s="215"/>
      <c r="C292" s="381"/>
      <c r="D292" s="382"/>
      <c r="E292" s="679" t="s">
        <v>408</v>
      </c>
      <c r="F292" s="679"/>
      <c r="G292" s="679"/>
      <c r="H292" s="679"/>
      <c r="I292" s="679"/>
      <c r="J292" s="679"/>
      <c r="K292" s="679"/>
      <c r="L292" s="679"/>
    </row>
    <row r="293" spans="1:12" s="48" customFormat="1" ht="15.75">
      <c r="A293" s="361">
        <v>710</v>
      </c>
      <c r="B293" s="389"/>
      <c r="C293" s="390" t="s">
        <v>409</v>
      </c>
      <c r="D293" s="391">
        <f>+D294</f>
        <v>1000</v>
      </c>
      <c r="E293" s="391">
        <v>2000</v>
      </c>
      <c r="F293" s="594">
        <f t="shared" si="13"/>
        <v>200</v>
      </c>
      <c r="G293" s="391">
        <v>2000</v>
      </c>
      <c r="H293" s="391"/>
      <c r="I293" s="391"/>
      <c r="J293" s="391"/>
      <c r="K293" s="391"/>
      <c r="L293" s="391">
        <v>0</v>
      </c>
    </row>
    <row r="294" spans="1:12" ht="12.75">
      <c r="A294" s="266"/>
      <c r="B294" s="205">
        <v>71035</v>
      </c>
      <c r="C294" s="380" t="s">
        <v>410</v>
      </c>
      <c r="D294" s="365">
        <v>1000</v>
      </c>
      <c r="E294" s="365">
        <v>2000</v>
      </c>
      <c r="F294" s="597">
        <f t="shared" si="13"/>
        <v>200</v>
      </c>
      <c r="G294" s="365">
        <v>2000</v>
      </c>
      <c r="H294" s="365"/>
      <c r="I294" s="365"/>
      <c r="J294" s="365"/>
      <c r="K294" s="379"/>
      <c r="L294" s="379"/>
    </row>
    <row r="295" spans="1:12" ht="16.5" thickBot="1">
      <c r="A295" s="397"/>
      <c r="B295" s="398"/>
      <c r="C295" s="383" t="s">
        <v>411</v>
      </c>
      <c r="D295" s="399">
        <f>+D11+D16+D42+D71+D82+D93+D96+D105+D112+D161+D173+D187+D191+D205+D231+D247+D274+D277+D281+D284+D288+D293</f>
        <v>52987388</v>
      </c>
      <c r="E295" s="399">
        <f>+E11+E16+E42+E71+E82+E93+E96+E105+E112+E161+E173+E187+E191+E205+E231+E247+E274+E277+E281+E284+E288+E293</f>
        <v>53867576</v>
      </c>
      <c r="F295" s="618">
        <f t="shared" si="13"/>
        <v>101.66112736109957</v>
      </c>
      <c r="G295" s="399">
        <f aca="true" t="shared" si="14" ref="G295:L295">+G11+G16+G42+G71+G82+G93+G96+G105+G112+G161+G173+G187+G191+G205+G231+G247+G274+G277+G281+G284+G288+G293</f>
        <v>40815373</v>
      </c>
      <c r="H295" s="399">
        <f t="shared" si="14"/>
        <v>11539524</v>
      </c>
      <c r="I295" s="399">
        <f t="shared" si="14"/>
        <v>2369920</v>
      </c>
      <c r="J295" s="400">
        <f t="shared" si="14"/>
        <v>3817786</v>
      </c>
      <c r="K295" s="399">
        <f t="shared" si="14"/>
        <v>717000</v>
      </c>
      <c r="L295" s="399">
        <f t="shared" si="14"/>
        <v>13052203</v>
      </c>
    </row>
    <row r="296" spans="3:4" ht="12.75">
      <c r="C296" s="241"/>
      <c r="D296" s="242"/>
    </row>
    <row r="298" ht="13.5" thickBot="1">
      <c r="I298" s="76">
        <f>+H295+I295</f>
        <v>13909444</v>
      </c>
    </row>
    <row r="299" spans="3:5" ht="12.75">
      <c r="C299" s="229" t="s">
        <v>551</v>
      </c>
      <c r="D299" s="238"/>
      <c r="E299" s="230">
        <v>2850000</v>
      </c>
    </row>
    <row r="300" spans="3:5" ht="12.75">
      <c r="C300" s="233" t="s">
        <v>552</v>
      </c>
      <c r="D300" s="239"/>
      <c r="E300" s="234">
        <f>+E295+E299</f>
        <v>56717576</v>
      </c>
    </row>
    <row r="301" spans="3:5" ht="12.75">
      <c r="C301" s="233" t="s">
        <v>555</v>
      </c>
      <c r="D301" s="235"/>
      <c r="E301" s="234">
        <f>+1!F80</f>
        <v>51717576</v>
      </c>
    </row>
    <row r="302" spans="3:5" ht="13.5" thickBot="1">
      <c r="C302" s="236" t="s">
        <v>556</v>
      </c>
      <c r="D302" s="237"/>
      <c r="E302" s="240">
        <f>+E301-E300</f>
        <v>-5000000</v>
      </c>
    </row>
    <row r="303" spans="4:12" ht="12.75">
      <c r="D303" s="76"/>
      <c r="E303" s="100"/>
      <c r="F303" s="100"/>
      <c r="G303" s="100"/>
      <c r="H303" s="100"/>
      <c r="I303" s="100"/>
      <c r="J303" s="100"/>
      <c r="K303" s="100"/>
      <c r="L303" s="100"/>
    </row>
    <row r="304" spans="4:12" ht="15">
      <c r="D304" s="232">
        <v>54878732</v>
      </c>
      <c r="E304" s="232">
        <v>56851805</v>
      </c>
      <c r="F304" s="232">
        <v>103.59533270557344</v>
      </c>
      <c r="G304" s="232">
        <v>40299602</v>
      </c>
      <c r="H304" s="232">
        <v>11395956</v>
      </c>
      <c r="I304" s="232">
        <v>2258574</v>
      </c>
      <c r="J304" s="232">
        <v>4109920</v>
      </c>
      <c r="K304" s="232">
        <v>0</v>
      </c>
      <c r="L304" s="232">
        <v>16552203</v>
      </c>
    </row>
    <row r="306" spans="4:5" ht="12.75">
      <c r="D306" s="100"/>
      <c r="E306" s="1">
        <v>5000000</v>
      </c>
    </row>
    <row r="307" ht="12.75">
      <c r="E307" s="76">
        <f>+E306+E302</f>
        <v>0</v>
      </c>
    </row>
    <row r="338" ht="20.25" customHeight="1"/>
    <row r="340" ht="25.5" customHeight="1"/>
    <row r="343" ht="55.5" customHeight="1"/>
    <row r="344" spans="1:12" ht="12.75" hidden="1">
      <c r="A344" s="80"/>
      <c r="B344" s="80"/>
      <c r="C344" s="80"/>
      <c r="D344" s="80"/>
      <c r="E344" s="81" t="s">
        <v>25</v>
      </c>
      <c r="F344" s="81"/>
      <c r="G344" s="81" t="s">
        <v>25</v>
      </c>
      <c r="H344" s="81"/>
      <c r="I344" s="81"/>
      <c r="J344" s="81"/>
      <c r="K344" s="81"/>
      <c r="L344" s="81"/>
    </row>
    <row r="347" ht="77.25" customHeight="1"/>
    <row r="350" ht="44.25" customHeight="1"/>
    <row r="351" spans="1:12" ht="12.75">
      <c r="A351" s="78"/>
      <c r="B351" s="78"/>
      <c r="C351" s="78"/>
      <c r="D351" s="78"/>
      <c r="E351" s="79"/>
      <c r="F351" s="79"/>
      <c r="G351" s="79"/>
      <c r="H351" s="79"/>
      <c r="I351" s="79"/>
      <c r="J351" s="79"/>
      <c r="K351" s="79"/>
      <c r="L351" s="79"/>
    </row>
    <row r="352" spans="5:7" ht="28.5" customHeight="1">
      <c r="E352" s="76"/>
      <c r="F352" s="76"/>
      <c r="G352" s="76"/>
    </row>
    <row r="353" spans="5:7" ht="12.75">
      <c r="E353" s="76"/>
      <c r="F353" s="76"/>
      <c r="G353" s="76"/>
    </row>
    <row r="354" spans="5:7" ht="12.75">
      <c r="E354" s="76"/>
      <c r="F354" s="76"/>
      <c r="G354" s="76"/>
    </row>
    <row r="355" spans="5:7" ht="12.75">
      <c r="E355" s="76"/>
      <c r="F355" s="76"/>
      <c r="G355" s="76"/>
    </row>
    <row r="356" spans="5:7" ht="12.75">
      <c r="E356" s="76"/>
      <c r="F356" s="76"/>
      <c r="G356" s="76"/>
    </row>
    <row r="358" spans="5:12" ht="12.75">
      <c r="E358" s="76"/>
      <c r="F358" s="76"/>
      <c r="G358" s="76"/>
      <c r="H358" s="76"/>
      <c r="I358" s="76"/>
      <c r="J358" s="76"/>
      <c r="L358" s="76"/>
    </row>
    <row r="359" spans="5:12" ht="12.75">
      <c r="E359" s="76"/>
      <c r="F359" s="76"/>
      <c r="G359" s="76"/>
      <c r="H359" s="76"/>
      <c r="I359" s="76"/>
      <c r="L359" s="76"/>
    </row>
    <row r="360" spans="5:9" ht="12.75">
      <c r="E360" s="76"/>
      <c r="F360" s="76"/>
      <c r="G360" s="76"/>
      <c r="H360" s="76"/>
      <c r="I360" s="76"/>
    </row>
    <row r="362" spans="5:9" ht="12.75">
      <c r="E362" s="76"/>
      <c r="F362" s="76"/>
      <c r="G362" s="76"/>
      <c r="H362" s="76"/>
      <c r="I362" s="76"/>
    </row>
    <row r="363" spans="5:9" ht="12.75">
      <c r="E363" s="76"/>
      <c r="F363" s="76"/>
      <c r="G363" s="76"/>
      <c r="H363" s="76"/>
      <c r="I363" s="76"/>
    </row>
    <row r="366" spans="5:9" ht="12.75">
      <c r="E366" s="76"/>
      <c r="F366" s="76"/>
      <c r="G366" s="76"/>
      <c r="H366" s="76"/>
      <c r="I366" s="76"/>
    </row>
    <row r="367" spans="5:9" ht="12.75">
      <c r="E367" s="76"/>
      <c r="F367" s="76"/>
      <c r="G367" s="76"/>
      <c r="H367" s="76"/>
      <c r="I367" s="76"/>
    </row>
    <row r="368" spans="5:9" ht="12.75">
      <c r="E368" s="76"/>
      <c r="F368" s="76"/>
      <c r="G368" s="76"/>
      <c r="H368" s="76"/>
      <c r="I368" s="76"/>
    </row>
    <row r="370" spans="5:12" ht="12.75">
      <c r="E370" s="76"/>
      <c r="F370" s="76"/>
      <c r="L370" s="76"/>
    </row>
    <row r="372" spans="5:9" ht="12.75">
      <c r="E372" s="76"/>
      <c r="F372" s="76"/>
      <c r="G372" s="76"/>
      <c r="H372" s="76"/>
      <c r="I372" s="76"/>
    </row>
    <row r="374" spans="5:9" ht="12.75">
      <c r="E374" s="76"/>
      <c r="F374" s="76"/>
      <c r="G374" s="76"/>
      <c r="H374" s="76"/>
      <c r="I374" s="76"/>
    </row>
    <row r="375" spans="5:9" ht="12.75">
      <c r="E375" s="76"/>
      <c r="F375" s="76"/>
      <c r="G375" s="76"/>
      <c r="H375" s="76"/>
      <c r="I375" s="76"/>
    </row>
    <row r="376" spans="5:9" ht="12.75">
      <c r="E376" s="76"/>
      <c r="F376" s="76"/>
      <c r="G376" s="76"/>
      <c r="H376" s="76"/>
      <c r="I376" s="76"/>
    </row>
    <row r="377" spans="5:9" ht="12.75">
      <c r="E377" s="76"/>
      <c r="F377" s="76"/>
      <c r="G377" s="76"/>
      <c r="H377" s="76"/>
      <c r="I377" s="76"/>
    </row>
    <row r="378" spans="5:9" ht="12.75">
      <c r="E378" s="76"/>
      <c r="F378" s="76"/>
      <c r="G378" s="76"/>
      <c r="H378" s="76"/>
      <c r="I378" s="76"/>
    </row>
    <row r="380" spans="5:10" ht="12.75">
      <c r="E380" s="76"/>
      <c r="F380" s="76"/>
      <c r="G380" s="76"/>
      <c r="J380" s="76"/>
    </row>
    <row r="381" spans="5:10" ht="12.75">
      <c r="E381" s="76"/>
      <c r="F381" s="76"/>
      <c r="G381" s="76"/>
      <c r="J381" s="76"/>
    </row>
    <row r="382" spans="5:7" ht="12.75">
      <c r="E382" s="76"/>
      <c r="F382" s="76"/>
      <c r="G382" s="76"/>
    </row>
    <row r="383" spans="5:9" ht="12.75">
      <c r="E383" s="76"/>
      <c r="F383" s="76"/>
      <c r="G383" s="76"/>
      <c r="H383" s="76"/>
      <c r="I383" s="76"/>
    </row>
    <row r="385" spans="5:9" ht="12.75">
      <c r="E385" s="76"/>
      <c r="F385" s="76"/>
      <c r="G385" s="76"/>
      <c r="H385" s="76"/>
      <c r="I385" s="76"/>
    </row>
    <row r="386" spans="5:9" ht="12.75">
      <c r="E386" s="76"/>
      <c r="F386" s="76"/>
      <c r="G386" s="76"/>
      <c r="H386" s="76"/>
      <c r="I386" s="76"/>
    </row>
    <row r="387" spans="5:9" ht="12.75">
      <c r="E387" s="76"/>
      <c r="F387" s="76"/>
      <c r="G387" s="76"/>
      <c r="H387" s="76"/>
      <c r="I387" s="76"/>
    </row>
    <row r="389" spans="5:7" ht="12.75">
      <c r="E389" s="76"/>
      <c r="F389" s="76"/>
      <c r="G389" s="76"/>
    </row>
    <row r="390" spans="5:7" ht="12.75">
      <c r="E390" s="76"/>
      <c r="F390" s="76"/>
      <c r="G390" s="76"/>
    </row>
    <row r="392" spans="5:9" ht="12.75">
      <c r="E392" s="76"/>
      <c r="F392" s="76"/>
      <c r="G392" s="76"/>
      <c r="H392" s="76"/>
      <c r="I392" s="76"/>
    </row>
    <row r="393" spans="5:9" ht="12.75">
      <c r="E393" s="76"/>
      <c r="F393" s="76"/>
      <c r="G393" s="76"/>
      <c r="H393" s="76"/>
      <c r="I393" s="76"/>
    </row>
    <row r="395" spans="5:8" ht="12.75">
      <c r="E395" s="76"/>
      <c r="F395" s="76"/>
      <c r="G395" s="76"/>
      <c r="H395" s="76"/>
    </row>
    <row r="396" spans="5:8" ht="12.75">
      <c r="E396" s="76"/>
      <c r="F396" s="76"/>
      <c r="G396" s="76"/>
      <c r="H396" s="76"/>
    </row>
    <row r="397" spans="5:6" ht="12.75">
      <c r="E397" s="77"/>
      <c r="F397" s="77"/>
    </row>
    <row r="399" spans="8:9" ht="12.75">
      <c r="H399" s="77"/>
      <c r="I399" s="77"/>
    </row>
    <row r="400" spans="5:7" ht="12.75">
      <c r="E400" s="76"/>
      <c r="F400" s="76"/>
      <c r="G400" s="76"/>
    </row>
    <row r="402" spans="5:10" ht="12.75">
      <c r="E402" s="76"/>
      <c r="F402" s="76"/>
      <c r="G402" s="76"/>
      <c r="J402" s="76"/>
    </row>
    <row r="403" spans="5:10" ht="12.75">
      <c r="E403" s="76"/>
      <c r="F403" s="76"/>
      <c r="G403" s="76"/>
      <c r="J403" s="76"/>
    </row>
    <row r="406" spans="5:7" ht="12.75">
      <c r="E406" s="76"/>
      <c r="F406" s="76"/>
      <c r="G406" s="76"/>
    </row>
    <row r="407" spans="5:7" ht="12.75">
      <c r="E407" s="76"/>
      <c r="F407" s="76"/>
      <c r="G407" s="76"/>
    </row>
    <row r="408" spans="5:7" ht="12.75">
      <c r="E408" s="76"/>
      <c r="F408" s="76"/>
      <c r="G408" s="76"/>
    </row>
    <row r="416" spans="5:9" ht="12.75">
      <c r="E416" s="76"/>
      <c r="F416" s="76"/>
      <c r="G416" s="76"/>
      <c r="H416" s="76"/>
      <c r="I416" s="76"/>
    </row>
    <row r="419" spans="5:7" ht="12.75">
      <c r="E419" s="76"/>
      <c r="F419" s="76"/>
      <c r="G419" s="76"/>
    </row>
    <row r="421" spans="5:7" ht="12.75">
      <c r="E421" s="76"/>
      <c r="F421" s="76"/>
      <c r="G421" s="76"/>
    </row>
    <row r="423" spans="5:7" ht="12.75">
      <c r="E423" s="76"/>
      <c r="F423" s="76"/>
      <c r="G423" s="76"/>
    </row>
    <row r="425" spans="5:9" ht="12.75">
      <c r="E425" s="76"/>
      <c r="F425" s="76"/>
      <c r="G425" s="76"/>
      <c r="H425" s="76"/>
      <c r="I425" s="76"/>
    </row>
    <row r="426" spans="5:9" ht="12.75">
      <c r="E426" s="76"/>
      <c r="F426" s="76"/>
      <c r="G426" s="76"/>
      <c r="H426" s="76"/>
      <c r="I426" s="76"/>
    </row>
    <row r="428" spans="5:7" ht="12.75">
      <c r="E428" s="76"/>
      <c r="F428" s="76"/>
      <c r="G428" s="76"/>
    </row>
    <row r="429" spans="5:7" ht="12.75">
      <c r="E429" s="76"/>
      <c r="F429" s="76"/>
      <c r="G429" s="76"/>
    </row>
    <row r="431" spans="5:9" ht="12.75">
      <c r="E431" s="76"/>
      <c r="F431" s="76"/>
      <c r="G431" s="76"/>
      <c r="H431" s="76"/>
      <c r="I431" s="76"/>
    </row>
    <row r="432" spans="5:9" ht="12.75">
      <c r="E432" s="76"/>
      <c r="F432" s="76"/>
      <c r="G432" s="76"/>
      <c r="H432" s="76"/>
      <c r="I432" s="76"/>
    </row>
    <row r="434" spans="5:7" ht="12.75">
      <c r="E434" s="76"/>
      <c r="F434" s="76"/>
      <c r="G434" s="76"/>
    </row>
    <row r="435" spans="5:7" ht="12.75">
      <c r="E435" s="76"/>
      <c r="F435" s="76"/>
      <c r="G435" s="76"/>
    </row>
    <row r="437" spans="5:9" ht="12.75">
      <c r="E437" s="76"/>
      <c r="F437" s="76"/>
      <c r="G437" s="76"/>
      <c r="H437" s="76"/>
      <c r="I437" s="76"/>
    </row>
    <row r="438" spans="5:9" ht="12.75">
      <c r="E438" s="76"/>
      <c r="F438" s="76"/>
      <c r="G438" s="76"/>
      <c r="H438" s="76"/>
      <c r="I438" s="76"/>
    </row>
    <row r="439" spans="5:9" ht="12.75">
      <c r="E439" s="76"/>
      <c r="F439" s="76"/>
      <c r="G439" s="76"/>
      <c r="H439" s="76"/>
      <c r="I439" s="76"/>
    </row>
    <row r="441" spans="5:9" ht="12.75">
      <c r="E441" s="76"/>
      <c r="F441" s="76"/>
      <c r="G441" s="76"/>
      <c r="H441" s="76"/>
      <c r="I441" s="76"/>
    </row>
    <row r="443" spans="5:9" ht="12.75">
      <c r="E443" s="76"/>
      <c r="F443" s="76"/>
      <c r="G443" s="76"/>
      <c r="H443" s="76"/>
      <c r="I443" s="76"/>
    </row>
    <row r="444" spans="5:9" ht="12.75">
      <c r="E444" s="76"/>
      <c r="F444" s="76"/>
      <c r="G444" s="76"/>
      <c r="H444" s="76"/>
      <c r="I444" s="76"/>
    </row>
    <row r="445" spans="5:9" ht="12.75">
      <c r="E445" s="76"/>
      <c r="F445" s="76"/>
      <c r="G445" s="76"/>
      <c r="H445" s="76"/>
      <c r="I445" s="76"/>
    </row>
    <row r="446" spans="5:9" ht="12.75">
      <c r="E446" s="76"/>
      <c r="F446" s="76"/>
      <c r="G446" s="76"/>
      <c r="H446" s="76"/>
      <c r="I446" s="76"/>
    </row>
    <row r="447" spans="5:9" ht="12.75">
      <c r="E447" s="76"/>
      <c r="F447" s="76"/>
      <c r="G447" s="76"/>
      <c r="H447" s="76"/>
      <c r="I447" s="76"/>
    </row>
    <row r="448" spans="5:9" ht="12.75">
      <c r="E448" s="76"/>
      <c r="F448" s="76"/>
      <c r="G448" s="76"/>
      <c r="H448" s="76"/>
      <c r="I448" s="76"/>
    </row>
    <row r="450" spans="5:7" ht="12.75">
      <c r="E450" s="76"/>
      <c r="F450" s="76"/>
      <c r="G450" s="76"/>
    </row>
    <row r="451" spans="5:7" ht="12.75">
      <c r="E451" s="76"/>
      <c r="F451" s="76"/>
      <c r="G451" s="76"/>
    </row>
    <row r="452" spans="5:6" ht="12.75">
      <c r="E452" s="77"/>
      <c r="F452" s="77"/>
    </row>
    <row r="454" spans="8:9" ht="12.75">
      <c r="H454" s="77"/>
      <c r="I454" s="77"/>
    </row>
    <row r="456" spans="5:7" ht="12.75">
      <c r="E456" s="76"/>
      <c r="F456" s="76"/>
      <c r="G456" s="76"/>
    </row>
    <row r="457" spans="5:7" ht="12.75">
      <c r="E457" s="76"/>
      <c r="F457" s="76"/>
      <c r="G457" s="76"/>
    </row>
    <row r="459" spans="5:12" ht="12.75">
      <c r="E459" s="76"/>
      <c r="F459" s="76"/>
      <c r="G459" s="76"/>
      <c r="L459" s="76"/>
    </row>
    <row r="462" spans="5:12" ht="12.75">
      <c r="E462" s="76"/>
      <c r="F462" s="76"/>
      <c r="G462" s="76"/>
      <c r="L462" s="76"/>
    </row>
    <row r="463" spans="5:7" ht="12.75">
      <c r="E463" s="76"/>
      <c r="F463" s="76"/>
      <c r="G463" s="76"/>
    </row>
    <row r="464" spans="5:7" ht="12.75">
      <c r="E464" s="76"/>
      <c r="F464" s="76"/>
      <c r="G464" s="76"/>
    </row>
    <row r="465" spans="5:7" ht="12.75">
      <c r="E465" s="76"/>
      <c r="F465" s="76"/>
      <c r="G465" s="76"/>
    </row>
    <row r="467" spans="5:12" ht="12.75">
      <c r="E467" s="76"/>
      <c r="F467" s="76"/>
      <c r="L467" s="76"/>
    </row>
    <row r="468" spans="5:12" ht="12.75">
      <c r="E468" s="76"/>
      <c r="F468" s="76"/>
      <c r="L468" s="76"/>
    </row>
    <row r="469" spans="5:12" ht="12.75">
      <c r="E469" s="76"/>
      <c r="F469" s="76"/>
      <c r="L469" s="76"/>
    </row>
    <row r="471" spans="5:7" ht="12.75">
      <c r="E471" s="76"/>
      <c r="F471" s="76"/>
      <c r="G471" s="76"/>
    </row>
    <row r="473" spans="5:7" ht="12.75">
      <c r="E473" s="76"/>
      <c r="F473" s="76"/>
      <c r="G473" s="76"/>
    </row>
    <row r="474" spans="5:7" ht="12.75">
      <c r="E474" s="76"/>
      <c r="F474" s="76"/>
      <c r="G474" s="76"/>
    </row>
    <row r="475" spans="5:7" ht="12.75">
      <c r="E475" s="76"/>
      <c r="F475" s="76"/>
      <c r="G475" s="76"/>
    </row>
    <row r="477" spans="5:12" ht="12.75">
      <c r="E477" s="76"/>
      <c r="F477" s="76"/>
      <c r="G477" s="76"/>
      <c r="L477" s="76"/>
    </row>
    <row r="478" spans="5:7" ht="12.75">
      <c r="E478" s="76"/>
      <c r="F478" s="76"/>
      <c r="G478" s="76"/>
    </row>
    <row r="479" spans="5:7" ht="12.75">
      <c r="E479" s="76"/>
      <c r="F479" s="76"/>
      <c r="G479" s="76"/>
    </row>
    <row r="481" spans="5:12" ht="12.75">
      <c r="E481" s="76"/>
      <c r="F481" s="76"/>
      <c r="L481" s="76"/>
    </row>
    <row r="483" spans="5:7" ht="12.75">
      <c r="E483" s="76"/>
      <c r="F483" s="76"/>
      <c r="G483" s="76"/>
    </row>
    <row r="484" spans="5:7" ht="12.75">
      <c r="E484" s="76"/>
      <c r="F484" s="76"/>
      <c r="G484" s="76"/>
    </row>
    <row r="486" spans="5:12" ht="12.75">
      <c r="E486" s="76"/>
      <c r="F486" s="76"/>
      <c r="G486" s="76"/>
      <c r="H486" s="76"/>
      <c r="I486" s="76"/>
      <c r="L486" s="76"/>
    </row>
    <row r="487" spans="5:7" ht="12.75">
      <c r="E487" s="76"/>
      <c r="F487" s="76"/>
      <c r="G487" s="76"/>
    </row>
    <row r="488" spans="5:9" ht="12.75">
      <c r="E488" s="76"/>
      <c r="F488" s="76"/>
      <c r="G488" s="76"/>
      <c r="H488" s="76"/>
      <c r="I488" s="76"/>
    </row>
    <row r="489" spans="5:7" ht="12.75">
      <c r="E489" s="76"/>
      <c r="F489" s="76"/>
      <c r="G489" s="76"/>
    </row>
    <row r="491" spans="5:7" ht="12.75">
      <c r="E491" s="76"/>
      <c r="F491" s="76"/>
      <c r="G491" s="76"/>
    </row>
    <row r="492" spans="5:7" ht="12.75">
      <c r="E492" s="76"/>
      <c r="F492" s="76"/>
      <c r="G492" s="76"/>
    </row>
    <row r="494" spans="5:12" ht="12.75">
      <c r="E494" s="76"/>
      <c r="F494" s="76"/>
      <c r="G494" s="76"/>
      <c r="L494" s="76"/>
    </row>
    <row r="495" spans="5:7" ht="12.75">
      <c r="E495" s="76"/>
      <c r="F495" s="76"/>
      <c r="G495" s="76"/>
    </row>
    <row r="497" spans="5:12" ht="12.75">
      <c r="E497" s="76"/>
      <c r="F497" s="76"/>
      <c r="L497" s="76"/>
    </row>
    <row r="499" spans="5:7" ht="12.75">
      <c r="E499" s="76"/>
      <c r="F499" s="76"/>
      <c r="G499" s="76"/>
    </row>
    <row r="500" spans="5:7" ht="12.75">
      <c r="E500" s="76"/>
      <c r="F500" s="76"/>
      <c r="G500" s="76"/>
    </row>
    <row r="502" spans="5:12" ht="12.75">
      <c r="E502" s="76"/>
      <c r="F502" s="76"/>
      <c r="G502" s="76"/>
      <c r="J502" s="76"/>
      <c r="L502" s="76"/>
    </row>
    <row r="503" spans="5:10" ht="12.75">
      <c r="E503" s="76"/>
      <c r="F503" s="76"/>
      <c r="G503" s="76"/>
      <c r="J503" s="76"/>
    </row>
    <row r="504" spans="5:10" ht="12.75">
      <c r="E504" s="76"/>
      <c r="F504" s="76"/>
      <c r="G504" s="76"/>
      <c r="J504" s="76"/>
    </row>
    <row r="506" spans="5:10" ht="12.75">
      <c r="E506" s="76"/>
      <c r="F506" s="76"/>
      <c r="G506" s="76"/>
      <c r="J506" s="76"/>
    </row>
    <row r="508" spans="5:10" ht="12.75">
      <c r="E508" s="76"/>
      <c r="F508" s="76"/>
      <c r="G508" s="76"/>
      <c r="J508" s="76"/>
    </row>
    <row r="509" spans="5:10" ht="12.75">
      <c r="E509" s="76"/>
      <c r="F509" s="76"/>
      <c r="G509" s="76"/>
      <c r="J509" s="76"/>
    </row>
    <row r="510" spans="5:10" ht="12.75">
      <c r="E510" s="76"/>
      <c r="F510" s="76"/>
      <c r="G510" s="76"/>
      <c r="J510" s="76"/>
    </row>
    <row r="511" spans="5:10" ht="12.75">
      <c r="E511" s="76"/>
      <c r="F511" s="76"/>
      <c r="G511" s="76"/>
      <c r="J511" s="76"/>
    </row>
    <row r="512" spans="5:10" ht="12.75">
      <c r="E512" s="76"/>
      <c r="F512" s="76"/>
      <c r="G512" s="76"/>
      <c r="J512" s="76"/>
    </row>
    <row r="513" spans="5:10" ht="12.75">
      <c r="E513" s="76"/>
      <c r="F513" s="76"/>
      <c r="G513" s="76"/>
      <c r="J513" s="76"/>
    </row>
    <row r="514" spans="5:10" ht="12.75">
      <c r="E514" s="76"/>
      <c r="F514" s="76"/>
      <c r="G514" s="76"/>
      <c r="J514" s="76"/>
    </row>
    <row r="515" spans="5:10" ht="12.75">
      <c r="E515" s="76"/>
      <c r="F515" s="76"/>
      <c r="G515" s="76"/>
      <c r="J515" s="76"/>
    </row>
    <row r="516" spans="5:10" ht="12.75">
      <c r="E516" s="76"/>
      <c r="F516" s="76"/>
      <c r="G516" s="76"/>
      <c r="J516" s="76"/>
    </row>
    <row r="518" spans="5:7" ht="12.75">
      <c r="E518" s="76"/>
      <c r="F518" s="76"/>
      <c r="G518" s="76"/>
    </row>
    <row r="519" spans="5:7" ht="12.75">
      <c r="E519" s="76"/>
      <c r="F519" s="76"/>
      <c r="G519" s="76"/>
    </row>
    <row r="521" spans="5:12" ht="12.75">
      <c r="E521" s="76"/>
      <c r="F521" s="76"/>
      <c r="L521" s="76"/>
    </row>
  </sheetData>
  <mergeCells count="12">
    <mergeCell ref="A5:I5"/>
    <mergeCell ref="H8:K8"/>
    <mergeCell ref="G8:G9"/>
    <mergeCell ref="L8:L9"/>
    <mergeCell ref="A7:A9"/>
    <mergeCell ref="C7:C9"/>
    <mergeCell ref="B7:B9"/>
    <mergeCell ref="G7:L7"/>
    <mergeCell ref="C270:L270"/>
    <mergeCell ref="D7:D9"/>
    <mergeCell ref="E292:L292"/>
    <mergeCell ref="E7:E9"/>
  </mergeCells>
  <printOptions horizontalCentered="1"/>
  <pageMargins left="0.1968503937007874" right="0.1968503937007874" top="0.29" bottom="0.46" header="0.18" footer="0.16"/>
  <pageSetup fitToHeight="8" horizontalDpi="600" verticalDpi="600" orientation="landscape" pageOrder="overThenDown" paperSize="9" scale="82" r:id="rId1"/>
  <headerFooter alignWithMargins="0">
    <oddHeader xml:space="preserve">&amp;C </oddHeader>
    <oddFooter>&amp;C
&amp;P/&amp;N</oddFooter>
  </headerFooter>
  <rowBreaks count="5" manualBreakCount="5">
    <brk id="41" max="11" man="1"/>
    <brk id="111" max="11" man="1"/>
    <brk id="153" max="11" man="1"/>
    <brk id="190" max="11" man="1"/>
    <brk id="228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showGridLines="0" view="pageBreakPreview" zoomScaleSheetLayoutView="100" workbookViewId="0" topLeftCell="A1">
      <pane ySplit="13" topLeftCell="BM34" activePane="bottomLeft" state="frozen"/>
      <selection pane="topLeft" activeCell="A1" sqref="A1"/>
      <selection pane="bottomLeft" activeCell="L4" sqref="L4"/>
    </sheetView>
  </sheetViews>
  <sheetFormatPr defaultColWidth="9.00390625" defaultRowHeight="12.75"/>
  <cols>
    <col min="1" max="1" width="5.625" style="1" customWidth="1"/>
    <col min="2" max="2" width="5.875" style="3" customWidth="1"/>
    <col min="3" max="3" width="7.75390625" style="3" customWidth="1"/>
    <col min="4" max="4" width="4.875" style="3" customWidth="1"/>
    <col min="5" max="5" width="15.625" style="1" customWidth="1"/>
    <col min="6" max="6" width="12.00390625" style="3" customWidth="1"/>
    <col min="7" max="7" width="12.375" style="3" customWidth="1"/>
    <col min="8" max="8" width="10.125" style="3" customWidth="1"/>
    <col min="9" max="9" width="10.125" style="1" customWidth="1"/>
    <col min="10" max="10" width="11.75390625" style="1" customWidth="1"/>
    <col min="11" max="11" width="13.375" style="1" customWidth="1"/>
    <col min="12" max="12" width="9.875" style="3" customWidth="1"/>
    <col min="13" max="13" width="10.125" style="3" bestFit="1" customWidth="1"/>
    <col min="14" max="14" width="15.375" style="1" customWidth="1"/>
    <col min="15" max="16384" width="9.125" style="1" customWidth="1"/>
  </cols>
  <sheetData>
    <row r="1" spans="12:13" ht="12.75">
      <c r="L1" t="s">
        <v>657</v>
      </c>
      <c r="M1" s="1"/>
    </row>
    <row r="2" spans="12:13" ht="12.75">
      <c r="L2" t="s">
        <v>708</v>
      </c>
      <c r="M2" s="1"/>
    </row>
    <row r="3" spans="12:13" ht="12.75">
      <c r="L3" t="s">
        <v>196</v>
      </c>
      <c r="M3" s="1"/>
    </row>
    <row r="4" spans="12:13" ht="12.75">
      <c r="L4" t="s">
        <v>709</v>
      </c>
      <c r="M4" s="1"/>
    </row>
    <row r="6" spans="1:14" ht="18">
      <c r="A6" s="688" t="s">
        <v>645</v>
      </c>
      <c r="B6" s="688"/>
      <c r="C6" s="688"/>
      <c r="D6" s="688"/>
      <c r="E6" s="688"/>
      <c r="F6" s="688"/>
      <c r="G6" s="688"/>
      <c r="H6" s="688"/>
      <c r="I6" s="688"/>
      <c r="J6" s="688"/>
      <c r="K6" s="688"/>
      <c r="L6" s="688"/>
      <c r="M6" s="688"/>
      <c r="N6" s="688"/>
    </row>
    <row r="7" spans="1:14" ht="18.75" thickBo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0" t="s">
        <v>43</v>
      </c>
    </row>
    <row r="8" spans="1:14" s="43" customFormat="1" ht="12.75">
      <c r="A8" s="689" t="s">
        <v>63</v>
      </c>
      <c r="B8" s="683" t="s">
        <v>2</v>
      </c>
      <c r="C8" s="683" t="s">
        <v>42</v>
      </c>
      <c r="D8" s="683" t="s">
        <v>133</v>
      </c>
      <c r="E8" s="691" t="s">
        <v>117</v>
      </c>
      <c r="F8" s="691" t="s">
        <v>129</v>
      </c>
      <c r="G8" s="691" t="s">
        <v>76</v>
      </c>
      <c r="H8" s="691"/>
      <c r="I8" s="691"/>
      <c r="J8" s="691"/>
      <c r="K8" s="691"/>
      <c r="L8" s="691"/>
      <c r="M8" s="691"/>
      <c r="N8" s="692" t="s">
        <v>134</v>
      </c>
    </row>
    <row r="9" spans="1:14" s="43" customFormat="1" ht="12.75">
      <c r="A9" s="690"/>
      <c r="B9" s="684"/>
      <c r="C9" s="684"/>
      <c r="D9" s="684"/>
      <c r="E9" s="685"/>
      <c r="F9" s="685"/>
      <c r="G9" s="685" t="s">
        <v>646</v>
      </c>
      <c r="H9" s="685" t="s">
        <v>180</v>
      </c>
      <c r="I9" s="685"/>
      <c r="J9" s="685"/>
      <c r="K9" s="685"/>
      <c r="L9" s="685" t="s">
        <v>61</v>
      </c>
      <c r="M9" s="685" t="s">
        <v>647</v>
      </c>
      <c r="N9" s="693"/>
    </row>
    <row r="10" spans="1:14" s="43" customFormat="1" ht="12.75">
      <c r="A10" s="690"/>
      <c r="B10" s="684"/>
      <c r="C10" s="684"/>
      <c r="D10" s="684"/>
      <c r="E10" s="685"/>
      <c r="F10" s="685"/>
      <c r="G10" s="685"/>
      <c r="H10" s="685" t="s">
        <v>135</v>
      </c>
      <c r="I10" s="685" t="s">
        <v>466</v>
      </c>
      <c r="J10" s="685" t="s">
        <v>182</v>
      </c>
      <c r="K10" s="685" t="s">
        <v>116</v>
      </c>
      <c r="L10" s="685"/>
      <c r="M10" s="685"/>
      <c r="N10" s="693"/>
    </row>
    <row r="11" spans="1:14" s="43" customFormat="1" ht="12.75">
      <c r="A11" s="690"/>
      <c r="B11" s="684"/>
      <c r="C11" s="684"/>
      <c r="D11" s="684"/>
      <c r="E11" s="685"/>
      <c r="F11" s="685"/>
      <c r="G11" s="685"/>
      <c r="H11" s="685"/>
      <c r="I11" s="685"/>
      <c r="J11" s="685"/>
      <c r="K11" s="685"/>
      <c r="L11" s="685"/>
      <c r="M11" s="685"/>
      <c r="N11" s="693"/>
    </row>
    <row r="12" spans="1:14" s="43" customFormat="1" ht="12.75">
      <c r="A12" s="690"/>
      <c r="B12" s="684"/>
      <c r="C12" s="684"/>
      <c r="D12" s="684"/>
      <c r="E12" s="685"/>
      <c r="F12" s="685"/>
      <c r="G12" s="685"/>
      <c r="H12" s="685"/>
      <c r="I12" s="685"/>
      <c r="J12" s="685"/>
      <c r="K12" s="685"/>
      <c r="L12" s="685"/>
      <c r="M12" s="685"/>
      <c r="N12" s="693"/>
    </row>
    <row r="13" spans="1:14" ht="12.75">
      <c r="A13" s="580">
        <v>1</v>
      </c>
      <c r="B13" s="21">
        <v>2</v>
      </c>
      <c r="C13" s="21">
        <v>3</v>
      </c>
      <c r="D13" s="21">
        <v>4</v>
      </c>
      <c r="E13" s="21">
        <v>5</v>
      </c>
      <c r="F13" s="21">
        <v>6</v>
      </c>
      <c r="G13" s="21">
        <v>7</v>
      </c>
      <c r="H13" s="21">
        <v>8</v>
      </c>
      <c r="I13" s="21">
        <v>9</v>
      </c>
      <c r="J13" s="21">
        <v>10</v>
      </c>
      <c r="K13" s="21">
        <v>11</v>
      </c>
      <c r="L13" s="21">
        <v>12</v>
      </c>
      <c r="M13" s="21">
        <v>13</v>
      </c>
      <c r="N13" s="581">
        <v>14</v>
      </c>
    </row>
    <row r="14" spans="1:14" ht="51">
      <c r="A14" s="582" t="s">
        <v>12</v>
      </c>
      <c r="B14" s="544">
        <v>600</v>
      </c>
      <c r="C14" s="544">
        <v>60016</v>
      </c>
      <c r="D14" s="544">
        <v>6050</v>
      </c>
      <c r="E14" s="545" t="s">
        <v>468</v>
      </c>
      <c r="F14" s="546">
        <f aca="true" t="shared" si="0" ref="F14:F37">+G14+L14+M14</f>
        <v>1000000</v>
      </c>
      <c r="G14" s="546">
        <f aca="true" t="shared" si="1" ref="G14:G19">+H14+I14+K14</f>
        <v>1000000</v>
      </c>
      <c r="H14" s="547">
        <v>1000000</v>
      </c>
      <c r="I14" s="548"/>
      <c r="J14" s="549" t="s">
        <v>136</v>
      </c>
      <c r="K14" s="578"/>
      <c r="L14" s="579"/>
      <c r="M14" s="579"/>
      <c r="N14" s="583" t="s">
        <v>467</v>
      </c>
    </row>
    <row r="15" spans="1:14" ht="51">
      <c r="A15" s="584" t="s">
        <v>13</v>
      </c>
      <c r="B15" s="550">
        <v>600</v>
      </c>
      <c r="C15" s="550">
        <v>60016</v>
      </c>
      <c r="D15" s="550">
        <v>6050</v>
      </c>
      <c r="E15" s="551" t="s">
        <v>662</v>
      </c>
      <c r="F15" s="552">
        <f t="shared" si="0"/>
        <v>1700000</v>
      </c>
      <c r="G15" s="552">
        <f t="shared" si="1"/>
        <v>1700000</v>
      </c>
      <c r="H15" s="553">
        <v>1700000</v>
      </c>
      <c r="I15" s="554"/>
      <c r="J15" s="555" t="s">
        <v>136</v>
      </c>
      <c r="K15" s="554"/>
      <c r="L15" s="552"/>
      <c r="M15" s="552"/>
      <c r="N15" s="585" t="s">
        <v>467</v>
      </c>
    </row>
    <row r="16" spans="1:14" ht="51">
      <c r="A16" s="584" t="s">
        <v>14</v>
      </c>
      <c r="B16" s="550">
        <v>600</v>
      </c>
      <c r="C16" s="550">
        <v>60016</v>
      </c>
      <c r="D16" s="550">
        <v>6050</v>
      </c>
      <c r="E16" s="551" t="s">
        <v>663</v>
      </c>
      <c r="F16" s="552">
        <f t="shared" si="0"/>
        <v>2500000</v>
      </c>
      <c r="G16" s="552">
        <f t="shared" si="1"/>
        <v>1000000</v>
      </c>
      <c r="H16" s="553">
        <v>1000000</v>
      </c>
      <c r="I16" s="554"/>
      <c r="J16" s="555" t="s">
        <v>136</v>
      </c>
      <c r="K16" s="554"/>
      <c r="L16" s="552"/>
      <c r="M16" s="552">
        <v>1500000</v>
      </c>
      <c r="N16" s="585" t="s">
        <v>467</v>
      </c>
    </row>
    <row r="17" spans="1:14" ht="51">
      <c r="A17" s="584" t="s">
        <v>1</v>
      </c>
      <c r="B17" s="550">
        <v>600</v>
      </c>
      <c r="C17" s="550">
        <v>60016</v>
      </c>
      <c r="D17" s="550">
        <v>6050</v>
      </c>
      <c r="E17" s="551" t="s">
        <v>664</v>
      </c>
      <c r="F17" s="552">
        <f t="shared" si="0"/>
        <v>5000000</v>
      </c>
      <c r="G17" s="552">
        <f t="shared" si="1"/>
        <v>1000000</v>
      </c>
      <c r="H17" s="553">
        <v>1000000</v>
      </c>
      <c r="I17" s="554"/>
      <c r="J17" s="555" t="s">
        <v>136</v>
      </c>
      <c r="K17" s="554"/>
      <c r="L17" s="552">
        <v>2000000</v>
      </c>
      <c r="M17" s="552">
        <v>2000000</v>
      </c>
      <c r="N17" s="585" t="s">
        <v>467</v>
      </c>
    </row>
    <row r="18" spans="1:14" ht="51">
      <c r="A18" s="584" t="s">
        <v>19</v>
      </c>
      <c r="B18" s="550">
        <v>600</v>
      </c>
      <c r="C18" s="550">
        <v>60016</v>
      </c>
      <c r="D18" s="550">
        <v>6050</v>
      </c>
      <c r="E18" s="551" t="s">
        <v>648</v>
      </c>
      <c r="F18" s="552">
        <f t="shared" si="0"/>
        <v>700000</v>
      </c>
      <c r="G18" s="552">
        <f t="shared" si="1"/>
        <v>0</v>
      </c>
      <c r="H18" s="553">
        <v>0</v>
      </c>
      <c r="I18" s="554"/>
      <c r="J18" s="555" t="s">
        <v>136</v>
      </c>
      <c r="K18" s="554"/>
      <c r="L18" s="552">
        <v>700000</v>
      </c>
      <c r="M18" s="552"/>
      <c r="N18" s="585" t="s">
        <v>467</v>
      </c>
    </row>
    <row r="19" spans="1:14" ht="51">
      <c r="A19" s="584" t="s">
        <v>22</v>
      </c>
      <c r="B19" s="550">
        <v>600</v>
      </c>
      <c r="C19" s="550">
        <v>60016</v>
      </c>
      <c r="D19" s="550">
        <v>6050</v>
      </c>
      <c r="E19" s="551" t="s">
        <v>649</v>
      </c>
      <c r="F19" s="552">
        <f t="shared" si="0"/>
        <v>400000</v>
      </c>
      <c r="G19" s="552">
        <f t="shared" si="1"/>
        <v>400000</v>
      </c>
      <c r="H19" s="553">
        <v>400000</v>
      </c>
      <c r="I19" s="554"/>
      <c r="J19" s="555" t="s">
        <v>136</v>
      </c>
      <c r="K19" s="554"/>
      <c r="L19" s="552"/>
      <c r="M19" s="552"/>
      <c r="N19" s="585" t="s">
        <v>467</v>
      </c>
    </row>
    <row r="20" spans="1:14" ht="51">
      <c r="A20" s="584" t="s">
        <v>24</v>
      </c>
      <c r="B20" s="550">
        <v>600</v>
      </c>
      <c r="C20" s="550">
        <v>60016</v>
      </c>
      <c r="D20" s="550">
        <v>6050</v>
      </c>
      <c r="E20" s="551" t="s">
        <v>665</v>
      </c>
      <c r="F20" s="552">
        <f t="shared" si="0"/>
        <v>1100000</v>
      </c>
      <c r="G20" s="552">
        <f>+H20+I20+K20</f>
        <v>100000</v>
      </c>
      <c r="H20" s="553">
        <v>100000</v>
      </c>
      <c r="I20" s="554"/>
      <c r="J20" s="555" t="s">
        <v>136</v>
      </c>
      <c r="K20" s="554"/>
      <c r="L20" s="552">
        <v>1000000</v>
      </c>
      <c r="M20" s="552"/>
      <c r="N20" s="585" t="s">
        <v>467</v>
      </c>
    </row>
    <row r="21" spans="1:14" ht="51">
      <c r="A21" s="584" t="s">
        <v>31</v>
      </c>
      <c r="B21" s="550">
        <v>600</v>
      </c>
      <c r="C21" s="550">
        <v>60016</v>
      </c>
      <c r="D21" s="550">
        <v>6050</v>
      </c>
      <c r="E21" s="551" t="s">
        <v>674</v>
      </c>
      <c r="F21" s="552">
        <f t="shared" si="0"/>
        <v>1060000</v>
      </c>
      <c r="G21" s="552">
        <f>+H21+I21+K21</f>
        <v>60000</v>
      </c>
      <c r="H21" s="553">
        <v>60000</v>
      </c>
      <c r="I21" s="554"/>
      <c r="J21" s="555" t="s">
        <v>136</v>
      </c>
      <c r="K21" s="554"/>
      <c r="L21" s="552">
        <v>1000000</v>
      </c>
      <c r="M21" s="552"/>
      <c r="N21" s="585" t="s">
        <v>467</v>
      </c>
    </row>
    <row r="22" spans="1:14" ht="51">
      <c r="A22" s="584" t="s">
        <v>469</v>
      </c>
      <c r="B22" s="550">
        <v>600</v>
      </c>
      <c r="C22" s="550">
        <v>60016</v>
      </c>
      <c r="D22" s="550">
        <v>6050</v>
      </c>
      <c r="E22" s="551" t="s">
        <v>667</v>
      </c>
      <c r="F22" s="552">
        <f t="shared" si="0"/>
        <v>830000</v>
      </c>
      <c r="G22" s="552">
        <f>+H22+I22+K22</f>
        <v>30000</v>
      </c>
      <c r="H22" s="553">
        <v>30000</v>
      </c>
      <c r="I22" s="554"/>
      <c r="J22" s="555" t="s">
        <v>136</v>
      </c>
      <c r="K22" s="554"/>
      <c r="L22" s="552">
        <v>800000</v>
      </c>
      <c r="M22" s="552"/>
      <c r="N22" s="585" t="s">
        <v>467</v>
      </c>
    </row>
    <row r="23" spans="1:14" ht="51">
      <c r="A23" s="584" t="s">
        <v>470</v>
      </c>
      <c r="B23" s="550">
        <v>700</v>
      </c>
      <c r="C23" s="550">
        <v>70095</v>
      </c>
      <c r="D23" s="550">
        <v>6050</v>
      </c>
      <c r="E23" s="551" t="s">
        <v>669</v>
      </c>
      <c r="F23" s="552">
        <f t="shared" si="0"/>
        <v>1500000</v>
      </c>
      <c r="G23" s="552">
        <f aca="true" t="shared" si="2" ref="G23:G37">+H23+I23+K23</f>
        <v>1000000</v>
      </c>
      <c r="H23" s="553">
        <v>1000000</v>
      </c>
      <c r="I23" s="554"/>
      <c r="J23" s="555" t="s">
        <v>136</v>
      </c>
      <c r="K23" s="554"/>
      <c r="L23" s="552">
        <v>500000</v>
      </c>
      <c r="M23" s="552"/>
      <c r="N23" s="585" t="s">
        <v>467</v>
      </c>
    </row>
    <row r="24" spans="1:14" ht="51">
      <c r="A24" s="584" t="s">
        <v>472</v>
      </c>
      <c r="B24" s="550">
        <v>750</v>
      </c>
      <c r="C24" s="550">
        <v>75023</v>
      </c>
      <c r="D24" s="550">
        <v>6050</v>
      </c>
      <c r="E24" s="551" t="s">
        <v>675</v>
      </c>
      <c r="F24" s="552">
        <f t="shared" si="0"/>
        <v>150000</v>
      </c>
      <c r="G24" s="552">
        <f t="shared" si="2"/>
        <v>50000</v>
      </c>
      <c r="H24" s="553">
        <v>50000</v>
      </c>
      <c r="I24" s="554"/>
      <c r="J24" s="555" t="s">
        <v>136</v>
      </c>
      <c r="K24" s="554"/>
      <c r="L24" s="552">
        <v>50000</v>
      </c>
      <c r="M24" s="552">
        <v>50000</v>
      </c>
      <c r="N24" s="585" t="s">
        <v>467</v>
      </c>
    </row>
    <row r="25" spans="1:14" ht="51">
      <c r="A25" s="584" t="s">
        <v>474</v>
      </c>
      <c r="B25" s="550">
        <v>801</v>
      </c>
      <c r="C25" s="550">
        <v>80101</v>
      </c>
      <c r="D25" s="550">
        <v>6050</v>
      </c>
      <c r="E25" s="551" t="s">
        <v>471</v>
      </c>
      <c r="F25" s="552">
        <f t="shared" si="0"/>
        <v>200000</v>
      </c>
      <c r="G25" s="552">
        <f t="shared" si="2"/>
        <v>200000</v>
      </c>
      <c r="H25" s="553">
        <v>200000</v>
      </c>
      <c r="I25" s="554"/>
      <c r="J25" s="555" t="s">
        <v>136</v>
      </c>
      <c r="K25" s="554"/>
      <c r="L25" s="552"/>
      <c r="M25" s="552"/>
      <c r="N25" s="585" t="s">
        <v>467</v>
      </c>
    </row>
    <row r="26" spans="1:14" ht="51">
      <c r="A26" s="584" t="s">
        <v>476</v>
      </c>
      <c r="B26" s="550">
        <v>801</v>
      </c>
      <c r="C26" s="550">
        <v>80101</v>
      </c>
      <c r="D26" s="550">
        <v>6050</v>
      </c>
      <c r="E26" s="551" t="s">
        <v>473</v>
      </c>
      <c r="F26" s="552">
        <f t="shared" si="0"/>
        <v>3000000</v>
      </c>
      <c r="G26" s="552">
        <f t="shared" si="2"/>
        <v>0</v>
      </c>
      <c r="H26" s="553">
        <v>0</v>
      </c>
      <c r="I26" s="554"/>
      <c r="J26" s="555" t="s">
        <v>136</v>
      </c>
      <c r="K26" s="554"/>
      <c r="L26" s="552">
        <v>1500000</v>
      </c>
      <c r="M26" s="552">
        <v>1500000</v>
      </c>
      <c r="N26" s="585" t="s">
        <v>467</v>
      </c>
    </row>
    <row r="27" spans="1:14" ht="51">
      <c r="A27" s="584" t="s">
        <v>477</v>
      </c>
      <c r="B27" s="550">
        <v>801</v>
      </c>
      <c r="C27" s="550">
        <v>80101</v>
      </c>
      <c r="D27" s="550">
        <v>6050</v>
      </c>
      <c r="E27" s="551" t="s">
        <v>475</v>
      </c>
      <c r="F27" s="552">
        <f t="shared" si="0"/>
        <v>200000</v>
      </c>
      <c r="G27" s="552">
        <f t="shared" si="2"/>
        <v>0</v>
      </c>
      <c r="H27" s="553">
        <v>0</v>
      </c>
      <c r="I27" s="554"/>
      <c r="J27" s="555" t="s">
        <v>136</v>
      </c>
      <c r="K27" s="554"/>
      <c r="L27" s="552">
        <v>200000</v>
      </c>
      <c r="M27" s="552"/>
      <c r="N27" s="585" t="s">
        <v>467</v>
      </c>
    </row>
    <row r="28" spans="1:14" ht="51" customHeight="1">
      <c r="A28" s="584" t="s">
        <v>478</v>
      </c>
      <c r="B28" s="550">
        <v>900</v>
      </c>
      <c r="C28" s="550">
        <v>90001</v>
      </c>
      <c r="D28" s="550">
        <v>6050</v>
      </c>
      <c r="E28" s="557" t="s">
        <v>650</v>
      </c>
      <c r="F28" s="552">
        <f t="shared" si="0"/>
        <v>3100000</v>
      </c>
      <c r="G28" s="552">
        <f t="shared" si="2"/>
        <v>3000000</v>
      </c>
      <c r="H28" s="552">
        <v>3000000</v>
      </c>
      <c r="I28" s="554"/>
      <c r="J28" s="555" t="s">
        <v>136</v>
      </c>
      <c r="K28" s="554"/>
      <c r="L28" s="552">
        <v>100000</v>
      </c>
      <c r="M28" s="554"/>
      <c r="N28" s="585" t="s">
        <v>467</v>
      </c>
    </row>
    <row r="29" spans="1:14" ht="51">
      <c r="A29" s="584" t="s">
        <v>479</v>
      </c>
      <c r="B29" s="550">
        <v>900</v>
      </c>
      <c r="C29" s="550">
        <v>90001</v>
      </c>
      <c r="D29" s="550">
        <v>6050</v>
      </c>
      <c r="E29" s="557" t="s">
        <v>651</v>
      </c>
      <c r="F29" s="552">
        <f t="shared" si="0"/>
        <v>3000000</v>
      </c>
      <c r="G29" s="552">
        <f t="shared" si="2"/>
        <v>0</v>
      </c>
      <c r="H29" s="552">
        <v>0</v>
      </c>
      <c r="I29" s="554"/>
      <c r="J29" s="555" t="s">
        <v>136</v>
      </c>
      <c r="K29" s="554"/>
      <c r="L29" s="554">
        <v>3000000</v>
      </c>
      <c r="M29" s="554"/>
      <c r="N29" s="585" t="s">
        <v>467</v>
      </c>
    </row>
    <row r="30" spans="1:14" ht="51">
      <c r="A30" s="584" t="s">
        <v>480</v>
      </c>
      <c r="B30" s="550">
        <v>900</v>
      </c>
      <c r="C30" s="550">
        <v>90001</v>
      </c>
      <c r="D30" s="550">
        <v>6050</v>
      </c>
      <c r="E30" s="551" t="s">
        <v>652</v>
      </c>
      <c r="F30" s="552">
        <f t="shared" si="0"/>
        <v>8200000</v>
      </c>
      <c r="G30" s="552">
        <f t="shared" si="2"/>
        <v>100000</v>
      </c>
      <c r="H30" s="553">
        <v>100000</v>
      </c>
      <c r="I30" s="554"/>
      <c r="J30" s="555" t="s">
        <v>136</v>
      </c>
      <c r="K30" s="554"/>
      <c r="L30" s="552">
        <v>8100000</v>
      </c>
      <c r="M30" s="552"/>
      <c r="N30" s="585" t="s">
        <v>467</v>
      </c>
    </row>
    <row r="31" spans="1:14" ht="51">
      <c r="A31" s="584" t="s">
        <v>482</v>
      </c>
      <c r="B31" s="550">
        <v>900</v>
      </c>
      <c r="C31" s="550">
        <v>90001</v>
      </c>
      <c r="D31" s="550">
        <v>6050</v>
      </c>
      <c r="E31" s="551" t="s">
        <v>481</v>
      </c>
      <c r="F31" s="552">
        <f t="shared" si="0"/>
        <v>3100000</v>
      </c>
      <c r="G31" s="552">
        <f t="shared" si="2"/>
        <v>0</v>
      </c>
      <c r="H31" s="553">
        <v>0</v>
      </c>
      <c r="I31" s="554"/>
      <c r="J31" s="555" t="s">
        <v>136</v>
      </c>
      <c r="K31" s="554"/>
      <c r="L31" s="552">
        <v>100000</v>
      </c>
      <c r="M31" s="552">
        <v>3000000</v>
      </c>
      <c r="N31" s="585" t="s">
        <v>467</v>
      </c>
    </row>
    <row r="32" spans="1:14" ht="51">
      <c r="A32" s="584" t="s">
        <v>484</v>
      </c>
      <c r="B32" s="550">
        <v>900</v>
      </c>
      <c r="C32" s="550">
        <v>90001</v>
      </c>
      <c r="D32" s="550">
        <v>6050</v>
      </c>
      <c r="E32" s="551" t="s">
        <v>483</v>
      </c>
      <c r="F32" s="552">
        <f t="shared" si="0"/>
        <v>4100000</v>
      </c>
      <c r="G32" s="552">
        <f t="shared" si="2"/>
        <v>0</v>
      </c>
      <c r="H32" s="553">
        <v>0</v>
      </c>
      <c r="I32" s="554"/>
      <c r="J32" s="555" t="s">
        <v>136</v>
      </c>
      <c r="K32" s="554"/>
      <c r="L32" s="552">
        <v>100000</v>
      </c>
      <c r="M32" s="552">
        <v>4000000</v>
      </c>
      <c r="N32" s="585" t="s">
        <v>467</v>
      </c>
    </row>
    <row r="33" spans="1:14" ht="51">
      <c r="A33" s="584" t="s">
        <v>486</v>
      </c>
      <c r="B33" s="34">
        <v>900</v>
      </c>
      <c r="C33" s="34">
        <v>90004</v>
      </c>
      <c r="D33" s="34">
        <v>6050</v>
      </c>
      <c r="E33" s="147" t="s">
        <v>671</v>
      </c>
      <c r="F33" s="552">
        <f t="shared" si="0"/>
        <v>550000</v>
      </c>
      <c r="G33" s="556">
        <f t="shared" si="2"/>
        <v>50000</v>
      </c>
      <c r="H33" s="556">
        <v>50000</v>
      </c>
      <c r="I33" s="558"/>
      <c r="J33" s="149" t="s">
        <v>136</v>
      </c>
      <c r="K33" s="558"/>
      <c r="L33" s="552">
        <v>250000</v>
      </c>
      <c r="M33" s="552">
        <v>250000</v>
      </c>
      <c r="N33" s="585" t="s">
        <v>467</v>
      </c>
    </row>
    <row r="34" spans="1:14" ht="51">
      <c r="A34" s="584" t="s">
        <v>487</v>
      </c>
      <c r="B34" s="550">
        <v>900</v>
      </c>
      <c r="C34" s="550">
        <v>90015</v>
      </c>
      <c r="D34" s="550">
        <v>6050</v>
      </c>
      <c r="E34" s="551" t="s">
        <v>485</v>
      </c>
      <c r="F34" s="552">
        <f t="shared" si="0"/>
        <v>1500000</v>
      </c>
      <c r="G34" s="552">
        <f t="shared" si="2"/>
        <v>0</v>
      </c>
      <c r="H34" s="553">
        <v>0</v>
      </c>
      <c r="I34" s="554"/>
      <c r="J34" s="555" t="s">
        <v>136</v>
      </c>
      <c r="K34" s="554"/>
      <c r="L34" s="552">
        <v>1500000</v>
      </c>
      <c r="M34" s="552"/>
      <c r="N34" s="585" t="s">
        <v>467</v>
      </c>
    </row>
    <row r="35" spans="1:14" ht="51">
      <c r="A35" s="584" t="s">
        <v>653</v>
      </c>
      <c r="B35" s="550">
        <v>926</v>
      </c>
      <c r="C35" s="550">
        <v>92695</v>
      </c>
      <c r="D35" s="550">
        <v>6050</v>
      </c>
      <c r="E35" s="551" t="s">
        <v>656</v>
      </c>
      <c r="F35" s="552">
        <f t="shared" si="0"/>
        <v>400000</v>
      </c>
      <c r="G35" s="552">
        <f t="shared" si="2"/>
        <v>400000</v>
      </c>
      <c r="H35" s="553">
        <v>400000</v>
      </c>
      <c r="I35" s="554"/>
      <c r="J35" s="555" t="s">
        <v>136</v>
      </c>
      <c r="K35" s="554"/>
      <c r="L35" s="552"/>
      <c r="M35" s="552"/>
      <c r="N35" s="585" t="s">
        <v>467</v>
      </c>
    </row>
    <row r="36" spans="1:14" ht="51">
      <c r="A36" s="584" t="s">
        <v>654</v>
      </c>
      <c r="B36" s="550">
        <v>926</v>
      </c>
      <c r="C36" s="550">
        <v>92695</v>
      </c>
      <c r="D36" s="550">
        <v>6050</v>
      </c>
      <c r="E36" s="551" t="s">
        <v>672</v>
      </c>
      <c r="F36" s="552">
        <f t="shared" si="0"/>
        <v>400000</v>
      </c>
      <c r="G36" s="552">
        <f t="shared" si="2"/>
        <v>400000</v>
      </c>
      <c r="H36" s="553">
        <v>400000</v>
      </c>
      <c r="I36" s="554"/>
      <c r="J36" s="555" t="s">
        <v>136</v>
      </c>
      <c r="K36" s="554"/>
      <c r="L36" s="552"/>
      <c r="M36" s="552"/>
      <c r="N36" s="585" t="s">
        <v>467</v>
      </c>
    </row>
    <row r="37" spans="1:14" ht="51">
      <c r="A37" s="586" t="s">
        <v>655</v>
      </c>
      <c r="B37" s="559">
        <v>926</v>
      </c>
      <c r="C37" s="559">
        <v>92695</v>
      </c>
      <c r="D37" s="559">
        <v>6050</v>
      </c>
      <c r="E37" s="560" t="s">
        <v>673</v>
      </c>
      <c r="F37" s="561">
        <f t="shared" si="0"/>
        <v>3300000</v>
      </c>
      <c r="G37" s="561">
        <f t="shared" si="2"/>
        <v>300000</v>
      </c>
      <c r="H37" s="562">
        <v>300000</v>
      </c>
      <c r="I37" s="563"/>
      <c r="J37" s="564" t="s">
        <v>136</v>
      </c>
      <c r="K37" s="563"/>
      <c r="L37" s="561">
        <v>2000000</v>
      </c>
      <c r="M37" s="561">
        <v>1000000</v>
      </c>
      <c r="N37" s="587" t="s">
        <v>467</v>
      </c>
    </row>
    <row r="38" spans="1:14" ht="13.5" thickBot="1">
      <c r="A38" s="686" t="s">
        <v>127</v>
      </c>
      <c r="B38" s="687"/>
      <c r="C38" s="687"/>
      <c r="D38" s="687"/>
      <c r="E38" s="687"/>
      <c r="F38" s="589">
        <f>SUM(F14:F37)</f>
        <v>46990000</v>
      </c>
      <c r="G38" s="589">
        <f>SUM(G14:G37)</f>
        <v>10790000</v>
      </c>
      <c r="H38" s="589">
        <f>SUM(H14:H37)</f>
        <v>10790000</v>
      </c>
      <c r="I38" s="590"/>
      <c r="J38" s="590"/>
      <c r="K38" s="590"/>
      <c r="L38" s="589">
        <f>SUM(L14:L37)</f>
        <v>22900000</v>
      </c>
      <c r="M38" s="589">
        <f>SUM(M14:M37)</f>
        <v>13300000</v>
      </c>
      <c r="N38" s="588" t="s">
        <v>50</v>
      </c>
    </row>
    <row r="39" spans="1:14" ht="12.75">
      <c r="A39" s="5"/>
      <c r="B39" s="4"/>
      <c r="C39" s="4"/>
      <c r="D39" s="4"/>
      <c r="E39" s="5"/>
      <c r="F39" s="4"/>
      <c r="G39" s="4"/>
      <c r="H39" s="4"/>
      <c r="I39" s="5"/>
      <c r="J39" s="5"/>
      <c r="K39" s="5"/>
      <c r="L39" s="4"/>
      <c r="M39" s="4"/>
      <c r="N39" s="5"/>
    </row>
    <row r="40" spans="1:14" ht="12.75">
      <c r="A40" s="5" t="s">
        <v>72</v>
      </c>
      <c r="B40" s="4"/>
      <c r="C40" s="4"/>
      <c r="D40" s="4"/>
      <c r="E40" s="5"/>
      <c r="F40" s="4"/>
      <c r="G40" s="4"/>
      <c r="H40" s="565"/>
      <c r="I40" s="5"/>
      <c r="J40" s="5"/>
      <c r="K40" s="5"/>
      <c r="L40" s="4"/>
      <c r="M40" s="4"/>
      <c r="N40" s="5"/>
    </row>
    <row r="41" spans="1:14" ht="12.75">
      <c r="A41" s="5" t="s">
        <v>69</v>
      </c>
      <c r="B41" s="4"/>
      <c r="C41" s="4"/>
      <c r="D41" s="4"/>
      <c r="E41" s="5"/>
      <c r="F41" s="4"/>
      <c r="G41" s="4"/>
      <c r="H41" s="4"/>
      <c r="I41" s="5"/>
      <c r="J41" s="5"/>
      <c r="K41" s="5"/>
      <c r="L41" s="4"/>
      <c r="M41" s="4"/>
      <c r="N41" s="5"/>
    </row>
    <row r="42" spans="1:14" ht="12.75">
      <c r="A42" s="5" t="s">
        <v>70</v>
      </c>
      <c r="B42" s="4"/>
      <c r="C42" s="4"/>
      <c r="D42" s="4"/>
      <c r="E42" s="5"/>
      <c r="F42" s="4"/>
      <c r="G42" s="4"/>
      <c r="H42" s="4"/>
      <c r="I42" s="5"/>
      <c r="J42" s="5"/>
      <c r="K42" s="5"/>
      <c r="L42" s="4"/>
      <c r="M42" s="4"/>
      <c r="N42" s="5"/>
    </row>
    <row r="43" spans="1:14" ht="12.75">
      <c r="A43" s="5" t="s">
        <v>71</v>
      </c>
      <c r="B43" s="4"/>
      <c r="C43" s="4"/>
      <c r="D43" s="4"/>
      <c r="E43" s="5"/>
      <c r="F43" s="4"/>
      <c r="G43" s="4"/>
      <c r="H43" s="4"/>
      <c r="I43" s="5"/>
      <c r="J43" s="5"/>
      <c r="K43" s="5"/>
      <c r="L43" s="4"/>
      <c r="M43" s="4"/>
      <c r="N43" s="5"/>
    </row>
    <row r="44" spans="1:14" ht="12.75">
      <c r="A44" s="154"/>
      <c r="B44" s="4"/>
      <c r="C44" s="4"/>
      <c r="D44" s="4"/>
      <c r="E44" s="5"/>
      <c r="F44" s="4"/>
      <c r="G44" s="4"/>
      <c r="H44" s="4"/>
      <c r="I44" s="5"/>
      <c r="J44" s="5"/>
      <c r="K44" s="5"/>
      <c r="L44" s="4"/>
      <c r="M44" s="4"/>
      <c r="N44" s="155"/>
    </row>
    <row r="45" spans="1:14" ht="12.75">
      <c r="A45" s="156" t="s">
        <v>25</v>
      </c>
      <c r="B45" s="566" t="s">
        <v>25</v>
      </c>
      <c r="C45" s="566" t="s">
        <v>25</v>
      </c>
      <c r="D45" s="566" t="s">
        <v>25</v>
      </c>
      <c r="E45" s="86" t="s">
        <v>25</v>
      </c>
      <c r="F45" s="566"/>
      <c r="G45" s="566"/>
      <c r="H45" s="566"/>
      <c r="I45" s="86"/>
      <c r="J45" s="86"/>
      <c r="K45" s="86"/>
      <c r="L45" s="566"/>
      <c r="M45" s="566"/>
      <c r="N45" s="157"/>
    </row>
  </sheetData>
  <mergeCells count="18">
    <mergeCell ref="A38:E38"/>
    <mergeCell ref="A6:N6"/>
    <mergeCell ref="A8:A12"/>
    <mergeCell ref="B8:B12"/>
    <mergeCell ref="C8:C12"/>
    <mergeCell ref="E8:E12"/>
    <mergeCell ref="G8:M8"/>
    <mergeCell ref="N8:N12"/>
    <mergeCell ref="G9:G12"/>
    <mergeCell ref="F8:F12"/>
    <mergeCell ref="D8:D12"/>
    <mergeCell ref="M9:M12"/>
    <mergeCell ref="L9:L12"/>
    <mergeCell ref="H9:K9"/>
    <mergeCell ref="H10:H12"/>
    <mergeCell ref="I10:I12"/>
    <mergeCell ref="J10:J12"/>
    <mergeCell ref="K10:K12"/>
  </mergeCells>
  <printOptions horizontalCentered="1"/>
  <pageMargins left="0.3" right="0.19" top="0.41" bottom="0.34" header="0.22" footer="0.16"/>
  <pageSetup fitToHeight="3" fitToWidth="1" horizontalDpi="600" verticalDpi="600" orientation="landscape" paperSize="9" scale="94" r:id="rId1"/>
  <headerFooter alignWithMargins="0">
    <oddFooter>&amp;C
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showGridLines="0" view="pageBreakPreview" zoomScaleSheetLayoutView="100" workbookViewId="0" topLeftCell="A28">
      <selection activeCell="K4" sqref="K4"/>
    </sheetView>
  </sheetViews>
  <sheetFormatPr defaultColWidth="9.00390625" defaultRowHeight="12.75"/>
  <cols>
    <col min="1" max="1" width="5.625" style="1" customWidth="1"/>
    <col min="2" max="2" width="6.875" style="3" customWidth="1"/>
    <col min="3" max="3" width="7.75390625" style="3" customWidth="1"/>
    <col min="4" max="4" width="5.375" style="3" customWidth="1"/>
    <col min="5" max="5" width="15.625" style="1" customWidth="1"/>
    <col min="6" max="6" width="12.00390625" style="1" customWidth="1"/>
    <col min="7" max="7" width="12.75390625" style="3" customWidth="1"/>
    <col min="8" max="8" width="10.125" style="3" customWidth="1"/>
    <col min="9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ht="12.75">
      <c r="K1" t="s">
        <v>661</v>
      </c>
    </row>
    <row r="2" ht="12.75">
      <c r="K2" t="s">
        <v>710</v>
      </c>
    </row>
    <row r="3" ht="12.75">
      <c r="K3" t="s">
        <v>196</v>
      </c>
    </row>
    <row r="4" ht="12.75">
      <c r="K4" t="s">
        <v>709</v>
      </c>
    </row>
    <row r="5" spans="1:12" ht="18">
      <c r="A5" s="688" t="s">
        <v>658</v>
      </c>
      <c r="B5" s="688"/>
      <c r="C5" s="688"/>
      <c r="D5" s="688"/>
      <c r="E5" s="688"/>
      <c r="F5" s="688"/>
      <c r="G5" s="688"/>
      <c r="H5" s="688"/>
      <c r="I5" s="688"/>
      <c r="J5" s="688"/>
      <c r="K5" s="688"/>
      <c r="L5" s="688"/>
    </row>
    <row r="6" spans="1:12" ht="18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0" t="s">
        <v>43</v>
      </c>
    </row>
    <row r="7" spans="1:12" s="43" customFormat="1" ht="12.75">
      <c r="A7" s="684" t="s">
        <v>63</v>
      </c>
      <c r="B7" s="684" t="s">
        <v>2</v>
      </c>
      <c r="C7" s="684" t="s">
        <v>42</v>
      </c>
      <c r="D7" s="684" t="s">
        <v>133</v>
      </c>
      <c r="E7" s="685" t="s">
        <v>137</v>
      </c>
      <c r="F7" s="685" t="s">
        <v>129</v>
      </c>
      <c r="G7" s="685" t="s">
        <v>76</v>
      </c>
      <c r="H7" s="685"/>
      <c r="I7" s="685"/>
      <c r="J7" s="685"/>
      <c r="K7" s="685"/>
      <c r="L7" s="685" t="s">
        <v>134</v>
      </c>
    </row>
    <row r="8" spans="1:12" s="43" customFormat="1" ht="12.75">
      <c r="A8" s="684"/>
      <c r="B8" s="684"/>
      <c r="C8" s="684"/>
      <c r="D8" s="684"/>
      <c r="E8" s="685"/>
      <c r="F8" s="685"/>
      <c r="G8" s="685" t="s">
        <v>659</v>
      </c>
      <c r="H8" s="685" t="s">
        <v>180</v>
      </c>
      <c r="I8" s="685"/>
      <c r="J8" s="685"/>
      <c r="K8" s="685"/>
      <c r="L8" s="685"/>
    </row>
    <row r="9" spans="1:12" s="43" customFormat="1" ht="12.75">
      <c r="A9" s="684"/>
      <c r="B9" s="684"/>
      <c r="C9" s="684"/>
      <c r="D9" s="684"/>
      <c r="E9" s="685"/>
      <c r="F9" s="685"/>
      <c r="G9" s="685"/>
      <c r="H9" s="685" t="s">
        <v>135</v>
      </c>
      <c r="I9" s="685" t="s">
        <v>488</v>
      </c>
      <c r="J9" s="685" t="s">
        <v>138</v>
      </c>
      <c r="K9" s="685" t="s">
        <v>116</v>
      </c>
      <c r="L9" s="685"/>
    </row>
    <row r="10" spans="1:12" s="43" customFormat="1" ht="12.75">
      <c r="A10" s="684"/>
      <c r="B10" s="684"/>
      <c r="C10" s="684"/>
      <c r="D10" s="684"/>
      <c r="E10" s="685"/>
      <c r="F10" s="685"/>
      <c r="G10" s="685"/>
      <c r="H10" s="685"/>
      <c r="I10" s="685"/>
      <c r="J10" s="685"/>
      <c r="K10" s="685"/>
      <c r="L10" s="685"/>
    </row>
    <row r="11" spans="1:12" s="43" customFormat="1" ht="12.75">
      <c r="A11" s="684"/>
      <c r="B11" s="684"/>
      <c r="C11" s="684"/>
      <c r="D11" s="684"/>
      <c r="E11" s="685"/>
      <c r="F11" s="685"/>
      <c r="G11" s="685"/>
      <c r="H11" s="685"/>
      <c r="I11" s="685"/>
      <c r="J11" s="685"/>
      <c r="K11" s="685"/>
      <c r="L11" s="685"/>
    </row>
    <row r="12" spans="1:12" ht="12.75">
      <c r="A12" s="21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1">
        <v>7</v>
      </c>
      <c r="H12" s="21">
        <v>8</v>
      </c>
      <c r="I12" s="21">
        <v>9</v>
      </c>
      <c r="J12" s="21">
        <v>10</v>
      </c>
      <c r="K12" s="21">
        <v>11</v>
      </c>
      <c r="L12" s="21">
        <v>12</v>
      </c>
    </row>
    <row r="13" spans="1:12" ht="51">
      <c r="A13" s="33">
        <v>1</v>
      </c>
      <c r="B13" s="33">
        <v>600</v>
      </c>
      <c r="C13" s="33">
        <v>60016</v>
      </c>
      <c r="D13" s="33">
        <v>6050</v>
      </c>
      <c r="E13" s="145" t="s">
        <v>468</v>
      </c>
      <c r="F13" s="146"/>
      <c r="G13" s="567">
        <f>+H13+I13+K13</f>
        <v>1000000</v>
      </c>
      <c r="H13" s="567">
        <v>1000000</v>
      </c>
      <c r="I13" s="23"/>
      <c r="J13" s="67" t="s">
        <v>136</v>
      </c>
      <c r="K13" s="23"/>
      <c r="L13" s="23" t="s">
        <v>467</v>
      </c>
    </row>
    <row r="14" spans="1:12" ht="51">
      <c r="A14" s="34">
        <v>2</v>
      </c>
      <c r="B14" s="34">
        <v>600</v>
      </c>
      <c r="C14" s="34">
        <v>60016</v>
      </c>
      <c r="D14" s="34">
        <v>6050</v>
      </c>
      <c r="E14" s="147" t="s">
        <v>489</v>
      </c>
      <c r="F14" s="148"/>
      <c r="G14" s="556">
        <f aca="true" t="shared" si="0" ref="G14:G26">+H14+I14+K14</f>
        <v>1700000</v>
      </c>
      <c r="H14" s="556">
        <v>1700000</v>
      </c>
      <c r="I14" s="24"/>
      <c r="J14" s="149" t="s">
        <v>136</v>
      </c>
      <c r="K14" s="24"/>
      <c r="L14" s="24" t="s">
        <v>467</v>
      </c>
    </row>
    <row r="15" spans="1:12" ht="51">
      <c r="A15" s="34">
        <v>3</v>
      </c>
      <c r="B15" s="34">
        <v>600</v>
      </c>
      <c r="C15" s="34">
        <v>60016</v>
      </c>
      <c r="D15" s="34">
        <v>6050</v>
      </c>
      <c r="E15" s="147" t="s">
        <v>663</v>
      </c>
      <c r="F15" s="148"/>
      <c r="G15" s="556">
        <f t="shared" si="0"/>
        <v>1000000</v>
      </c>
      <c r="H15" s="556">
        <v>1000000</v>
      </c>
      <c r="I15" s="24"/>
      <c r="J15" s="149" t="s">
        <v>136</v>
      </c>
      <c r="K15" s="24"/>
      <c r="L15" s="24" t="s">
        <v>467</v>
      </c>
    </row>
    <row r="16" spans="1:12" ht="51">
      <c r="A16" s="34">
        <v>4</v>
      </c>
      <c r="B16" s="34">
        <v>600</v>
      </c>
      <c r="C16" s="34">
        <v>60016</v>
      </c>
      <c r="D16" s="34">
        <v>6050</v>
      </c>
      <c r="E16" s="147" t="s">
        <v>664</v>
      </c>
      <c r="F16" s="148"/>
      <c r="G16" s="556">
        <f t="shared" si="0"/>
        <v>1000000</v>
      </c>
      <c r="H16" s="556">
        <v>1000000</v>
      </c>
      <c r="I16" s="24"/>
      <c r="J16" s="149" t="s">
        <v>136</v>
      </c>
      <c r="K16" s="24"/>
      <c r="L16" s="24" t="s">
        <v>467</v>
      </c>
    </row>
    <row r="17" spans="1:12" ht="51">
      <c r="A17" s="34">
        <v>5</v>
      </c>
      <c r="B17" s="34">
        <v>600</v>
      </c>
      <c r="C17" s="34">
        <v>60016</v>
      </c>
      <c r="D17" s="34">
        <v>6050</v>
      </c>
      <c r="E17" s="147" t="s">
        <v>665</v>
      </c>
      <c r="F17" s="148"/>
      <c r="G17" s="556">
        <f>+H17+I17+K17</f>
        <v>100000</v>
      </c>
      <c r="H17" s="556">
        <v>100000</v>
      </c>
      <c r="I17" s="148"/>
      <c r="J17" s="568" t="s">
        <v>136</v>
      </c>
      <c r="K17" s="148"/>
      <c r="L17" s="24" t="s">
        <v>467</v>
      </c>
    </row>
    <row r="18" spans="1:12" ht="51">
      <c r="A18" s="34">
        <v>6</v>
      </c>
      <c r="B18" s="34">
        <v>600</v>
      </c>
      <c r="C18" s="34">
        <v>60016</v>
      </c>
      <c r="D18" s="34">
        <v>6050</v>
      </c>
      <c r="E18" s="147" t="s">
        <v>666</v>
      </c>
      <c r="F18" s="148"/>
      <c r="G18" s="556">
        <f>+H18+I18+K18</f>
        <v>60000</v>
      </c>
      <c r="H18" s="556">
        <v>60000</v>
      </c>
      <c r="I18" s="148"/>
      <c r="J18" s="568" t="s">
        <v>136</v>
      </c>
      <c r="K18" s="148"/>
      <c r="L18" s="24" t="s">
        <v>467</v>
      </c>
    </row>
    <row r="19" spans="1:12" ht="51">
      <c r="A19" s="34">
        <v>7</v>
      </c>
      <c r="B19" s="34">
        <v>600</v>
      </c>
      <c r="C19" s="34">
        <v>60016</v>
      </c>
      <c r="D19" s="34">
        <v>6050</v>
      </c>
      <c r="E19" s="147" t="s">
        <v>668</v>
      </c>
      <c r="F19" s="148"/>
      <c r="G19" s="556">
        <f>+H19+I19+K19</f>
        <v>30000</v>
      </c>
      <c r="H19" s="556">
        <v>30000</v>
      </c>
      <c r="I19" s="148"/>
      <c r="J19" s="568" t="s">
        <v>136</v>
      </c>
      <c r="K19" s="148"/>
      <c r="L19" s="24" t="s">
        <v>467</v>
      </c>
    </row>
    <row r="20" spans="1:12" ht="51">
      <c r="A20" s="34">
        <v>8</v>
      </c>
      <c r="B20" s="34">
        <v>600</v>
      </c>
      <c r="C20" s="34">
        <v>60016</v>
      </c>
      <c r="D20" s="34">
        <v>6050</v>
      </c>
      <c r="E20" s="147" t="s">
        <v>649</v>
      </c>
      <c r="F20" s="148"/>
      <c r="G20" s="556">
        <f t="shared" si="0"/>
        <v>400000</v>
      </c>
      <c r="H20" s="556">
        <v>400000</v>
      </c>
      <c r="I20" s="24"/>
      <c r="J20" s="149" t="s">
        <v>136</v>
      </c>
      <c r="K20" s="24"/>
      <c r="L20" s="24" t="s">
        <v>467</v>
      </c>
    </row>
    <row r="21" spans="1:12" ht="51">
      <c r="A21" s="34">
        <v>9</v>
      </c>
      <c r="B21" s="34">
        <v>700</v>
      </c>
      <c r="C21" s="34">
        <v>70095</v>
      </c>
      <c r="D21" s="34">
        <v>6050</v>
      </c>
      <c r="E21" s="147" t="s">
        <v>669</v>
      </c>
      <c r="F21" s="148"/>
      <c r="G21" s="556">
        <f t="shared" si="0"/>
        <v>1000000</v>
      </c>
      <c r="H21" s="556">
        <v>1000000</v>
      </c>
      <c r="I21" s="24"/>
      <c r="J21" s="149" t="s">
        <v>136</v>
      </c>
      <c r="K21" s="24"/>
      <c r="L21" s="24" t="s">
        <v>467</v>
      </c>
    </row>
    <row r="22" spans="1:12" ht="51">
      <c r="A22" s="34">
        <v>10</v>
      </c>
      <c r="B22" s="34">
        <v>750</v>
      </c>
      <c r="C22" s="34">
        <v>75023</v>
      </c>
      <c r="D22" s="34">
        <v>6050</v>
      </c>
      <c r="E22" s="147" t="s">
        <v>670</v>
      </c>
      <c r="F22" s="148"/>
      <c r="G22" s="556">
        <f t="shared" si="0"/>
        <v>50000</v>
      </c>
      <c r="H22" s="556">
        <v>50000</v>
      </c>
      <c r="I22" s="24"/>
      <c r="J22" s="149" t="s">
        <v>136</v>
      </c>
      <c r="K22" s="24"/>
      <c r="L22" s="24" t="s">
        <v>467</v>
      </c>
    </row>
    <row r="23" spans="1:12" ht="51">
      <c r="A23" s="34">
        <v>11</v>
      </c>
      <c r="B23" s="34">
        <v>801</v>
      </c>
      <c r="C23" s="34">
        <v>80101</v>
      </c>
      <c r="D23" s="34">
        <v>6050</v>
      </c>
      <c r="E23" s="147" t="s">
        <v>471</v>
      </c>
      <c r="F23" s="148"/>
      <c r="G23" s="556">
        <f t="shared" si="0"/>
        <v>200000</v>
      </c>
      <c r="H23" s="556">
        <v>200000</v>
      </c>
      <c r="I23" s="24"/>
      <c r="J23" s="149" t="s">
        <v>136</v>
      </c>
      <c r="K23" s="24"/>
      <c r="L23" s="24" t="s">
        <v>467</v>
      </c>
    </row>
    <row r="24" spans="1:12" ht="51">
      <c r="A24" s="34">
        <v>12</v>
      </c>
      <c r="B24" s="34">
        <v>900</v>
      </c>
      <c r="C24" s="34">
        <v>90001</v>
      </c>
      <c r="D24" s="34">
        <v>6050</v>
      </c>
      <c r="E24" s="147" t="s">
        <v>660</v>
      </c>
      <c r="F24" s="148"/>
      <c r="G24" s="556">
        <f t="shared" si="0"/>
        <v>3000000</v>
      </c>
      <c r="H24" s="556">
        <v>3000000</v>
      </c>
      <c r="I24" s="148"/>
      <c r="J24" s="568" t="s">
        <v>136</v>
      </c>
      <c r="K24" s="24"/>
      <c r="L24" s="24" t="s">
        <v>467</v>
      </c>
    </row>
    <row r="25" spans="1:12" ht="51">
      <c r="A25" s="34">
        <v>13</v>
      </c>
      <c r="B25" s="34">
        <v>900</v>
      </c>
      <c r="C25" s="34">
        <v>90001</v>
      </c>
      <c r="D25" s="34">
        <v>6050</v>
      </c>
      <c r="E25" s="147" t="s">
        <v>652</v>
      </c>
      <c r="F25" s="148"/>
      <c r="G25" s="556">
        <f t="shared" si="0"/>
        <v>100000</v>
      </c>
      <c r="H25" s="556">
        <v>100000</v>
      </c>
      <c r="I25" s="24"/>
      <c r="J25" s="149" t="s">
        <v>136</v>
      </c>
      <c r="K25" s="24"/>
      <c r="L25" s="24" t="s">
        <v>467</v>
      </c>
    </row>
    <row r="26" spans="1:12" ht="51">
      <c r="A26" s="34">
        <v>14</v>
      </c>
      <c r="B26" s="34">
        <v>900</v>
      </c>
      <c r="C26" s="34">
        <v>90004</v>
      </c>
      <c r="D26" s="34">
        <v>6050</v>
      </c>
      <c r="E26" s="147" t="s">
        <v>671</v>
      </c>
      <c r="F26" s="593"/>
      <c r="G26" s="556">
        <f t="shared" si="0"/>
        <v>50000</v>
      </c>
      <c r="H26" s="556">
        <v>50000</v>
      </c>
      <c r="I26" s="593"/>
      <c r="J26" s="149" t="s">
        <v>136</v>
      </c>
      <c r="K26" s="593"/>
      <c r="L26" s="24" t="s">
        <v>467</v>
      </c>
    </row>
    <row r="27" spans="1:12" ht="51">
      <c r="A27" s="34">
        <v>15</v>
      </c>
      <c r="B27" s="34">
        <v>926</v>
      </c>
      <c r="C27" s="34">
        <v>92695</v>
      </c>
      <c r="D27" s="34">
        <v>6050</v>
      </c>
      <c r="E27" s="147" t="s">
        <v>656</v>
      </c>
      <c r="F27" s="148"/>
      <c r="G27" s="556">
        <f>+H27+I27+K27</f>
        <v>400000</v>
      </c>
      <c r="H27" s="556">
        <v>400000</v>
      </c>
      <c r="I27" s="24"/>
      <c r="J27" s="149" t="s">
        <v>136</v>
      </c>
      <c r="K27" s="24"/>
      <c r="L27" s="24" t="s">
        <v>467</v>
      </c>
    </row>
    <row r="28" spans="1:12" ht="51">
      <c r="A28" s="34">
        <v>16</v>
      </c>
      <c r="B28" s="34">
        <v>926</v>
      </c>
      <c r="C28" s="34">
        <v>92695</v>
      </c>
      <c r="D28" s="34">
        <v>6050</v>
      </c>
      <c r="E28" s="147" t="s">
        <v>672</v>
      </c>
      <c r="F28" s="148"/>
      <c r="G28" s="556">
        <f>+H28+I28+K28</f>
        <v>400000</v>
      </c>
      <c r="H28" s="556">
        <v>400000</v>
      </c>
      <c r="I28" s="24"/>
      <c r="J28" s="149" t="s">
        <v>136</v>
      </c>
      <c r="K28" s="24"/>
      <c r="L28" s="24" t="s">
        <v>467</v>
      </c>
    </row>
    <row r="29" spans="1:12" ht="51">
      <c r="A29" s="150">
        <v>17</v>
      </c>
      <c r="B29" s="150">
        <v>926</v>
      </c>
      <c r="C29" s="150">
        <v>92695</v>
      </c>
      <c r="D29" s="150">
        <v>6050</v>
      </c>
      <c r="E29" s="151" t="s">
        <v>673</v>
      </c>
      <c r="F29" s="152"/>
      <c r="G29" s="569">
        <f>+H29+I29+K29</f>
        <v>300000</v>
      </c>
      <c r="H29" s="569">
        <v>300000</v>
      </c>
      <c r="I29" s="152"/>
      <c r="J29" s="570" t="s">
        <v>136</v>
      </c>
      <c r="K29" s="152"/>
      <c r="L29" s="25" t="s">
        <v>467</v>
      </c>
    </row>
    <row r="30" spans="1:12" ht="12.75">
      <c r="A30" s="694" t="s">
        <v>127</v>
      </c>
      <c r="B30" s="694"/>
      <c r="C30" s="694"/>
      <c r="D30" s="694"/>
      <c r="E30" s="694"/>
      <c r="F30" s="158"/>
      <c r="G30" s="571">
        <f>SUM(G13:G29)</f>
        <v>10790000</v>
      </c>
      <c r="H30" s="571">
        <f>SUM(H13:H29)</f>
        <v>10790000</v>
      </c>
      <c r="I30" s="158"/>
      <c r="J30" s="153"/>
      <c r="K30" s="22"/>
      <c r="L30" s="58" t="s">
        <v>50</v>
      </c>
    </row>
    <row r="31" spans="1:12" ht="12.75">
      <c r="A31" s="576"/>
      <c r="B31" s="577"/>
      <c r="C31" s="577"/>
      <c r="D31" s="577"/>
      <c r="E31" s="576"/>
      <c r="F31" s="576"/>
      <c r="G31" s="591"/>
      <c r="H31" s="577"/>
      <c r="I31" s="576"/>
      <c r="J31" s="576"/>
      <c r="K31" s="576"/>
      <c r="L31" s="576"/>
    </row>
    <row r="32" spans="1:12" ht="12.75">
      <c r="A32" s="5" t="s">
        <v>72</v>
      </c>
      <c r="B32" s="4"/>
      <c r="C32" s="4"/>
      <c r="D32" s="4"/>
      <c r="E32" s="5"/>
      <c r="F32" s="5"/>
      <c r="G32" s="4"/>
      <c r="H32" s="4"/>
      <c r="I32" s="5"/>
      <c r="J32" s="5"/>
      <c r="K32" s="5"/>
      <c r="L32" s="5"/>
    </row>
    <row r="33" spans="1:12" ht="12.75">
      <c r="A33" s="5" t="s">
        <v>69</v>
      </c>
      <c r="B33" s="4"/>
      <c r="C33" s="4"/>
      <c r="D33" s="4"/>
      <c r="E33" s="5"/>
      <c r="F33" s="5"/>
      <c r="G33" s="4"/>
      <c r="H33" s="4"/>
      <c r="I33" s="5"/>
      <c r="J33" s="5"/>
      <c r="K33" s="5"/>
      <c r="L33" s="5"/>
    </row>
    <row r="34" spans="1:12" ht="12.75">
      <c r="A34" s="5" t="s">
        <v>70</v>
      </c>
      <c r="B34" s="4"/>
      <c r="C34" s="4"/>
      <c r="D34" s="4"/>
      <c r="E34" s="5"/>
      <c r="F34" s="5"/>
      <c r="G34" s="4"/>
      <c r="H34" s="4"/>
      <c r="I34" s="5"/>
      <c r="J34" s="5"/>
      <c r="K34" s="5"/>
      <c r="L34" s="5"/>
    </row>
    <row r="35" spans="1:12" ht="12.75">
      <c r="A35" s="5" t="s">
        <v>71</v>
      </c>
      <c r="B35" s="4"/>
      <c r="C35" s="4"/>
      <c r="D35" s="4"/>
      <c r="E35" s="5"/>
      <c r="F35" s="5"/>
      <c r="G35" s="4"/>
      <c r="H35" s="4"/>
      <c r="I35" s="5"/>
      <c r="J35" s="5"/>
      <c r="K35" s="5"/>
      <c r="L35" s="5"/>
    </row>
    <row r="36" spans="1:12" ht="12.75">
      <c r="A36" s="5"/>
      <c r="B36" s="4"/>
      <c r="C36" s="4"/>
      <c r="D36" s="4"/>
      <c r="E36" s="5"/>
      <c r="F36" s="5"/>
      <c r="G36" s="4"/>
      <c r="H36" s="4"/>
      <c r="I36" s="5"/>
      <c r="J36" s="5"/>
      <c r="K36" s="5"/>
      <c r="L36" s="5"/>
    </row>
    <row r="37" spans="1:12" ht="12.75">
      <c r="A37" s="592" t="s">
        <v>25</v>
      </c>
      <c r="B37" s="4"/>
      <c r="C37" s="4"/>
      <c r="D37" s="4"/>
      <c r="E37" s="5"/>
      <c r="F37" s="5"/>
      <c r="G37" s="4"/>
      <c r="H37" s="4"/>
      <c r="I37" s="5"/>
      <c r="J37" s="5"/>
      <c r="K37" s="5"/>
      <c r="L37" s="5"/>
    </row>
  </sheetData>
  <mergeCells count="16">
    <mergeCell ref="A5:L5"/>
    <mergeCell ref="A7:A11"/>
    <mergeCell ref="B7:B11"/>
    <mergeCell ref="C7:C11"/>
    <mergeCell ref="E7:E11"/>
    <mergeCell ref="G7:K7"/>
    <mergeCell ref="L7:L11"/>
    <mergeCell ref="G8:G11"/>
    <mergeCell ref="D7:D11"/>
    <mergeCell ref="A30:E30"/>
    <mergeCell ref="F7:F11"/>
    <mergeCell ref="H8:K8"/>
    <mergeCell ref="H9:H11"/>
    <mergeCell ref="I9:I11"/>
    <mergeCell ref="J9:J11"/>
    <mergeCell ref="K9:K11"/>
  </mergeCells>
  <printOptions horizontalCentered="1"/>
  <pageMargins left="0.5" right="0.3937007874015748" top="0.41" bottom="0.35" header="0.19" footer="0.16"/>
  <pageSetup fitToHeight="6" fitToWidth="1" horizontalDpi="600" verticalDpi="600" orientation="landscape" paperSize="9" r:id="rId1"/>
  <headerFooter alignWithMargins="0">
    <oddFooter>&amp;C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84"/>
  <sheetViews>
    <sheetView showGridLines="0" view="pageBreakPreview" zoomScaleSheetLayoutView="100" workbookViewId="0" topLeftCell="A50">
      <selection activeCell="P20" sqref="P20"/>
    </sheetView>
  </sheetViews>
  <sheetFormatPr defaultColWidth="9.00390625" defaultRowHeight="12.75"/>
  <cols>
    <col min="1" max="1" width="3.625" style="14" bestFit="1" customWidth="1"/>
    <col min="2" max="2" width="19.875" style="14" customWidth="1"/>
    <col min="3" max="3" width="13.00390625" style="14" customWidth="1"/>
    <col min="4" max="4" width="10.625" style="14" customWidth="1"/>
    <col min="5" max="5" width="12.00390625" style="14" customWidth="1"/>
    <col min="6" max="6" width="9.125" style="14" customWidth="1"/>
    <col min="7" max="7" width="8.75390625" style="14" customWidth="1"/>
    <col min="8" max="8" width="10.00390625" style="14" customWidth="1"/>
    <col min="9" max="9" width="8.75390625" style="14" customWidth="1"/>
    <col min="10" max="11" width="7.75390625" style="14" customWidth="1"/>
    <col min="12" max="12" width="9.75390625" style="14" customWidth="1"/>
    <col min="13" max="13" width="11.75390625" style="14" customWidth="1"/>
    <col min="14" max="14" width="12.375" style="14" customWidth="1"/>
    <col min="15" max="15" width="8.25390625" style="14" customWidth="1"/>
    <col min="16" max="16" width="8.125" style="14" customWidth="1"/>
    <col min="17" max="17" width="8.75390625" style="14" customWidth="1"/>
    <col min="18" max="16384" width="10.25390625" style="14" customWidth="1"/>
  </cols>
  <sheetData>
    <row r="1" ht="12.75">
      <c r="N1" t="s">
        <v>685</v>
      </c>
    </row>
    <row r="2" ht="12.75">
      <c r="N2" t="s">
        <v>708</v>
      </c>
    </row>
    <row r="3" ht="12.75">
      <c r="N3" t="s">
        <v>196</v>
      </c>
    </row>
    <row r="4" ht="12.75">
      <c r="N4" t="s">
        <v>709</v>
      </c>
    </row>
    <row r="6" spans="1:17" ht="12.75">
      <c r="A6" s="702" t="s">
        <v>118</v>
      </c>
      <c r="B6" s="702"/>
      <c r="C6" s="702"/>
      <c r="D6" s="702"/>
      <c r="E6" s="702"/>
      <c r="F6" s="702"/>
      <c r="G6" s="702"/>
      <c r="H6" s="702"/>
      <c r="I6" s="702"/>
      <c r="J6" s="702"/>
      <c r="K6" s="702"/>
      <c r="L6" s="702"/>
      <c r="M6" s="702"/>
      <c r="N6" s="702"/>
      <c r="O6" s="702"/>
      <c r="P6" s="702"/>
      <c r="Q6" s="702"/>
    </row>
    <row r="8" spans="1:17" ht="11.25">
      <c r="A8" s="701" t="s">
        <v>63</v>
      </c>
      <c r="B8" s="701" t="s">
        <v>77</v>
      </c>
      <c r="C8" s="703" t="s">
        <v>78</v>
      </c>
      <c r="D8" s="703" t="s">
        <v>181</v>
      </c>
      <c r="E8" s="703" t="s">
        <v>123</v>
      </c>
      <c r="F8" s="701" t="s">
        <v>6</v>
      </c>
      <c r="G8" s="701"/>
      <c r="H8" s="701" t="s">
        <v>76</v>
      </c>
      <c r="I8" s="701"/>
      <c r="J8" s="701"/>
      <c r="K8" s="701"/>
      <c r="L8" s="701"/>
      <c r="M8" s="701"/>
      <c r="N8" s="701"/>
      <c r="O8" s="701"/>
      <c r="P8" s="701"/>
      <c r="Q8" s="701"/>
    </row>
    <row r="9" spans="1:17" ht="11.25">
      <c r="A9" s="701"/>
      <c r="B9" s="701"/>
      <c r="C9" s="703"/>
      <c r="D9" s="703"/>
      <c r="E9" s="703"/>
      <c r="F9" s="703" t="s">
        <v>120</v>
      </c>
      <c r="G9" s="703" t="s">
        <v>121</v>
      </c>
      <c r="H9" s="701" t="s">
        <v>60</v>
      </c>
      <c r="I9" s="701"/>
      <c r="J9" s="701"/>
      <c r="K9" s="701"/>
      <c r="L9" s="701"/>
      <c r="M9" s="701"/>
      <c r="N9" s="701"/>
      <c r="O9" s="701"/>
      <c r="P9" s="701"/>
      <c r="Q9" s="701"/>
    </row>
    <row r="10" spans="1:17" ht="11.25">
      <c r="A10" s="701"/>
      <c r="B10" s="701"/>
      <c r="C10" s="703"/>
      <c r="D10" s="703"/>
      <c r="E10" s="703"/>
      <c r="F10" s="703"/>
      <c r="G10" s="703"/>
      <c r="H10" s="703" t="s">
        <v>80</v>
      </c>
      <c r="I10" s="701" t="s">
        <v>81</v>
      </c>
      <c r="J10" s="701"/>
      <c r="K10" s="701"/>
      <c r="L10" s="701"/>
      <c r="M10" s="701"/>
      <c r="N10" s="701"/>
      <c r="O10" s="701"/>
      <c r="P10" s="701"/>
      <c r="Q10" s="701"/>
    </row>
    <row r="11" spans="1:17" ht="11.25">
      <c r="A11" s="701"/>
      <c r="B11" s="701"/>
      <c r="C11" s="703"/>
      <c r="D11" s="703"/>
      <c r="E11" s="703"/>
      <c r="F11" s="703"/>
      <c r="G11" s="703"/>
      <c r="H11" s="703"/>
      <c r="I11" s="701" t="s">
        <v>82</v>
      </c>
      <c r="J11" s="701"/>
      <c r="K11" s="701"/>
      <c r="L11" s="701"/>
      <c r="M11" s="701" t="s">
        <v>79</v>
      </c>
      <c r="N11" s="701"/>
      <c r="O11" s="701"/>
      <c r="P11" s="701"/>
      <c r="Q11" s="701"/>
    </row>
    <row r="12" spans="1:17" ht="11.25">
      <c r="A12" s="701"/>
      <c r="B12" s="701"/>
      <c r="C12" s="703"/>
      <c r="D12" s="703"/>
      <c r="E12" s="703"/>
      <c r="F12" s="703"/>
      <c r="G12" s="703"/>
      <c r="H12" s="703"/>
      <c r="I12" s="703" t="s">
        <v>83</v>
      </c>
      <c r="J12" s="701" t="s">
        <v>84</v>
      </c>
      <c r="K12" s="701"/>
      <c r="L12" s="701"/>
      <c r="M12" s="703" t="s">
        <v>85</v>
      </c>
      <c r="N12" s="703" t="s">
        <v>84</v>
      </c>
      <c r="O12" s="703"/>
      <c r="P12" s="703"/>
      <c r="Q12" s="703"/>
    </row>
    <row r="13" spans="1:17" ht="45">
      <c r="A13" s="701"/>
      <c r="B13" s="701"/>
      <c r="C13" s="703"/>
      <c r="D13" s="703"/>
      <c r="E13" s="703"/>
      <c r="F13" s="703"/>
      <c r="G13" s="703"/>
      <c r="H13" s="703"/>
      <c r="I13" s="703"/>
      <c r="J13" s="41" t="s">
        <v>122</v>
      </c>
      <c r="K13" s="41" t="s">
        <v>86</v>
      </c>
      <c r="L13" s="41" t="s">
        <v>87</v>
      </c>
      <c r="M13" s="703"/>
      <c r="N13" s="41" t="s">
        <v>88</v>
      </c>
      <c r="O13" s="41" t="s">
        <v>122</v>
      </c>
      <c r="P13" s="41" t="s">
        <v>86</v>
      </c>
      <c r="Q13" s="41" t="s">
        <v>89</v>
      </c>
    </row>
    <row r="14" spans="1:17" ht="11.25">
      <c r="A14" s="15">
        <v>1</v>
      </c>
      <c r="B14" s="15">
        <v>2</v>
      </c>
      <c r="C14" s="15">
        <v>3</v>
      </c>
      <c r="D14" s="15">
        <v>4</v>
      </c>
      <c r="E14" s="15">
        <v>5</v>
      </c>
      <c r="F14" s="15">
        <v>6</v>
      </c>
      <c r="G14" s="15">
        <v>7</v>
      </c>
      <c r="H14" s="15">
        <v>8</v>
      </c>
      <c r="I14" s="15">
        <v>9</v>
      </c>
      <c r="J14" s="15">
        <v>10</v>
      </c>
      <c r="K14" s="15">
        <v>11</v>
      </c>
      <c r="L14" s="15">
        <v>12</v>
      </c>
      <c r="M14" s="15">
        <v>13</v>
      </c>
      <c r="N14" s="15">
        <v>14</v>
      </c>
      <c r="O14" s="15">
        <v>15</v>
      </c>
      <c r="P14" s="15">
        <v>16</v>
      </c>
      <c r="Q14" s="15">
        <v>17</v>
      </c>
    </row>
    <row r="15" spans="1:17" s="59" customFormat="1" ht="22.5">
      <c r="A15" s="143">
        <v>1</v>
      </c>
      <c r="B15" s="159" t="s">
        <v>90</v>
      </c>
      <c r="C15" s="695" t="s">
        <v>50</v>
      </c>
      <c r="D15" s="696"/>
      <c r="E15" s="160">
        <f>SUM(E20,E29,E38,E47,E56,E65,E74)</f>
        <v>28400000</v>
      </c>
      <c r="F15" s="160">
        <f>SUM(F20,F29,F38,F47,F56,F65,F74)</f>
        <v>7105000</v>
      </c>
      <c r="G15" s="160">
        <f>SUM(G20,G29,G38,G47,G56,G65,G74)</f>
        <v>21370000</v>
      </c>
      <c r="H15" s="160">
        <f>+M15+I15</f>
        <v>1400000</v>
      </c>
      <c r="I15" s="160">
        <f>+L15</f>
        <v>1400000</v>
      </c>
      <c r="J15" s="42"/>
      <c r="K15" s="42"/>
      <c r="L15" s="160">
        <f>SUM(L21,L30,L39,L48,L57,L66,L75)</f>
        <v>1400000</v>
      </c>
      <c r="M15" s="42"/>
      <c r="N15" s="42"/>
      <c r="O15" s="42"/>
      <c r="P15" s="42"/>
      <c r="Q15" s="42"/>
    </row>
    <row r="16" spans="1:17" ht="12.75">
      <c r="A16" s="704" t="s">
        <v>91</v>
      </c>
      <c r="B16" s="707" t="s">
        <v>490</v>
      </c>
      <c r="C16" s="708"/>
      <c r="D16" s="708"/>
      <c r="E16" s="708"/>
      <c r="F16" s="708"/>
      <c r="G16" s="708"/>
      <c r="H16" s="708"/>
      <c r="I16" s="708"/>
      <c r="J16" s="708"/>
      <c r="K16" s="708"/>
      <c r="L16" s="708"/>
      <c r="M16" s="708"/>
      <c r="N16" s="708"/>
      <c r="O16" s="708"/>
      <c r="P16" s="708"/>
      <c r="Q16" s="709"/>
    </row>
    <row r="17" spans="1:17" ht="12.75">
      <c r="A17" s="705"/>
      <c r="B17" s="698" t="s">
        <v>686</v>
      </c>
      <c r="C17" s="699"/>
      <c r="D17" s="699"/>
      <c r="E17" s="699"/>
      <c r="F17" s="699"/>
      <c r="G17" s="699"/>
      <c r="H17" s="699"/>
      <c r="I17" s="699"/>
      <c r="J17" s="699"/>
      <c r="K17" s="699"/>
      <c r="L17" s="699"/>
      <c r="M17" s="699"/>
      <c r="N17" s="699"/>
      <c r="O17" s="699"/>
      <c r="P17" s="699"/>
      <c r="Q17" s="700"/>
    </row>
    <row r="18" spans="1:17" ht="12.75">
      <c r="A18" s="705"/>
      <c r="B18" s="698" t="s">
        <v>491</v>
      </c>
      <c r="C18" s="699"/>
      <c r="D18" s="699"/>
      <c r="E18" s="699"/>
      <c r="F18" s="699"/>
      <c r="G18" s="699"/>
      <c r="H18" s="699"/>
      <c r="I18" s="699"/>
      <c r="J18" s="699"/>
      <c r="K18" s="699"/>
      <c r="L18" s="699"/>
      <c r="M18" s="699"/>
      <c r="N18" s="699"/>
      <c r="O18" s="699"/>
      <c r="P18" s="699"/>
      <c r="Q18" s="700"/>
    </row>
    <row r="19" spans="1:17" ht="12.75">
      <c r="A19" s="705"/>
      <c r="B19" s="698" t="s">
        <v>492</v>
      </c>
      <c r="C19" s="699"/>
      <c r="D19" s="699"/>
      <c r="E19" s="699"/>
      <c r="F19" s="699"/>
      <c r="G19" s="699"/>
      <c r="H19" s="699"/>
      <c r="I19" s="699"/>
      <c r="J19" s="699"/>
      <c r="K19" s="699"/>
      <c r="L19" s="699"/>
      <c r="M19" s="699"/>
      <c r="N19" s="699"/>
      <c r="O19" s="699"/>
      <c r="P19" s="699"/>
      <c r="Q19" s="700"/>
    </row>
    <row r="20" spans="1:17" ht="11.25">
      <c r="A20" s="705"/>
      <c r="B20" s="161" t="s">
        <v>92</v>
      </c>
      <c r="C20" s="161"/>
      <c r="D20" s="161">
        <v>900.90001</v>
      </c>
      <c r="E20" s="162">
        <v>3000000</v>
      </c>
      <c r="F20" s="162">
        <v>750000</v>
      </c>
      <c r="G20" s="162">
        <v>2250000</v>
      </c>
      <c r="H20" s="162"/>
      <c r="I20" s="161"/>
      <c r="J20" s="161"/>
      <c r="K20" s="161"/>
      <c r="L20" s="162"/>
      <c r="M20" s="161"/>
      <c r="N20" s="161"/>
      <c r="O20" s="161"/>
      <c r="P20" s="161"/>
      <c r="Q20" s="161"/>
    </row>
    <row r="21" spans="1:17" ht="11.25">
      <c r="A21" s="705"/>
      <c r="B21" s="51" t="s">
        <v>687</v>
      </c>
      <c r="C21" s="66"/>
      <c r="D21" s="66"/>
      <c r="E21" s="163"/>
      <c r="F21" s="163"/>
      <c r="G21" s="165"/>
      <c r="H21" s="66">
        <f>SUM(I21,M21)</f>
        <v>0</v>
      </c>
      <c r="I21" s="66">
        <f>SUM(J21:L21)</f>
        <v>0</v>
      </c>
      <c r="J21" s="66"/>
      <c r="K21" s="66"/>
      <c r="L21" s="164">
        <v>0</v>
      </c>
      <c r="M21" s="66">
        <f>SUM(N21:Q21)</f>
        <v>0</v>
      </c>
      <c r="N21" s="66"/>
      <c r="O21" s="66"/>
      <c r="P21" s="66"/>
      <c r="Q21" s="66"/>
    </row>
    <row r="22" spans="1:17" ht="11.25">
      <c r="A22" s="705"/>
      <c r="B22" s="51" t="s">
        <v>61</v>
      </c>
      <c r="C22" s="66"/>
      <c r="D22" s="66"/>
      <c r="E22" s="163">
        <v>3000000</v>
      </c>
      <c r="F22" s="163">
        <v>750000</v>
      </c>
      <c r="G22" s="165">
        <v>2250000</v>
      </c>
      <c r="I22" s="66"/>
      <c r="J22" s="66"/>
      <c r="K22" s="66"/>
      <c r="L22" s="66"/>
      <c r="M22" s="66"/>
      <c r="N22" s="66"/>
      <c r="O22" s="66"/>
      <c r="P22" s="66"/>
      <c r="Q22" s="66"/>
    </row>
    <row r="23" spans="1:17" ht="11.25">
      <c r="A23" s="705"/>
      <c r="B23" s="51" t="s">
        <v>647</v>
      </c>
      <c r="C23" s="66"/>
      <c r="D23" s="66"/>
      <c r="E23" s="51"/>
      <c r="F23" s="51"/>
      <c r="G23" s="51"/>
      <c r="H23" s="66"/>
      <c r="I23" s="66"/>
      <c r="J23" s="66"/>
      <c r="K23" s="66"/>
      <c r="L23" s="66"/>
      <c r="M23" s="66"/>
      <c r="N23" s="66"/>
      <c r="O23" s="66"/>
      <c r="P23" s="66"/>
      <c r="Q23" s="66"/>
    </row>
    <row r="24" spans="1:17" ht="11.25">
      <c r="A24" s="706"/>
      <c r="B24" s="52" t="s">
        <v>688</v>
      </c>
      <c r="C24" s="166"/>
      <c r="D24" s="166"/>
      <c r="E24" s="52"/>
      <c r="F24" s="52"/>
      <c r="G24" s="52"/>
      <c r="H24" s="166"/>
      <c r="I24" s="166"/>
      <c r="J24" s="166"/>
      <c r="K24" s="166"/>
      <c r="L24" s="166"/>
      <c r="M24" s="166"/>
      <c r="N24" s="166"/>
      <c r="O24" s="166"/>
      <c r="P24" s="166"/>
      <c r="Q24" s="166"/>
    </row>
    <row r="25" spans="1:17" ht="12.75">
      <c r="A25" s="167"/>
      <c r="B25" s="698" t="s">
        <v>490</v>
      </c>
      <c r="C25" s="699"/>
      <c r="D25" s="699"/>
      <c r="E25" s="699"/>
      <c r="F25" s="699"/>
      <c r="G25" s="699"/>
      <c r="H25" s="699"/>
      <c r="I25" s="699"/>
      <c r="J25" s="699"/>
      <c r="K25" s="699"/>
      <c r="L25" s="699"/>
      <c r="M25" s="699"/>
      <c r="N25" s="699"/>
      <c r="O25" s="699"/>
      <c r="P25" s="699"/>
      <c r="Q25" s="700"/>
    </row>
    <row r="26" spans="1:17" ht="12.75">
      <c r="A26" s="167"/>
      <c r="B26" s="698" t="s">
        <v>686</v>
      </c>
      <c r="C26" s="699"/>
      <c r="D26" s="699"/>
      <c r="E26" s="699"/>
      <c r="F26" s="699"/>
      <c r="G26" s="699"/>
      <c r="H26" s="699"/>
      <c r="I26" s="699"/>
      <c r="J26" s="699"/>
      <c r="K26" s="699"/>
      <c r="L26" s="699"/>
      <c r="M26" s="699"/>
      <c r="N26" s="699"/>
      <c r="O26" s="699"/>
      <c r="P26" s="699"/>
      <c r="Q26" s="700"/>
    </row>
    <row r="27" spans="1:17" ht="12.75">
      <c r="A27" s="167"/>
      <c r="B27" s="698" t="s">
        <v>689</v>
      </c>
      <c r="C27" s="699"/>
      <c r="D27" s="699"/>
      <c r="E27" s="699"/>
      <c r="F27" s="699"/>
      <c r="G27" s="699"/>
      <c r="H27" s="699"/>
      <c r="I27" s="699"/>
      <c r="J27" s="699"/>
      <c r="K27" s="699"/>
      <c r="L27" s="699"/>
      <c r="M27" s="699"/>
      <c r="N27" s="699"/>
      <c r="O27" s="699"/>
      <c r="P27" s="699"/>
      <c r="Q27" s="700"/>
    </row>
    <row r="28" spans="1:17" ht="12.75">
      <c r="A28" s="167"/>
      <c r="B28" s="698" t="s">
        <v>493</v>
      </c>
      <c r="C28" s="699"/>
      <c r="D28" s="699"/>
      <c r="E28" s="699"/>
      <c r="F28" s="699"/>
      <c r="G28" s="699"/>
      <c r="H28" s="699"/>
      <c r="I28" s="699"/>
      <c r="J28" s="699"/>
      <c r="K28" s="699"/>
      <c r="L28" s="699"/>
      <c r="M28" s="699"/>
      <c r="N28" s="699"/>
      <c r="O28" s="699"/>
      <c r="P28" s="699"/>
      <c r="Q28" s="700"/>
    </row>
    <row r="29" spans="1:17" ht="11.25">
      <c r="A29" s="167" t="s">
        <v>93</v>
      </c>
      <c r="B29" s="168" t="s">
        <v>494</v>
      </c>
      <c r="C29" s="169"/>
      <c r="D29" s="170">
        <v>900.90001</v>
      </c>
      <c r="E29" s="171">
        <v>3100000</v>
      </c>
      <c r="F29" s="171">
        <v>775000</v>
      </c>
      <c r="G29" s="171">
        <v>2325000</v>
      </c>
      <c r="H29" s="169"/>
      <c r="I29" s="169"/>
      <c r="J29" s="169"/>
      <c r="K29" s="169"/>
      <c r="L29" s="169"/>
      <c r="M29" s="169"/>
      <c r="N29" s="169"/>
      <c r="O29" s="169"/>
      <c r="P29" s="169"/>
      <c r="Q29" s="169"/>
    </row>
    <row r="30" spans="1:17" ht="11.25">
      <c r="A30" s="167"/>
      <c r="B30" s="172" t="s">
        <v>690</v>
      </c>
      <c r="C30" s="66"/>
      <c r="D30" s="66"/>
      <c r="E30" s="51"/>
      <c r="F30" s="51"/>
      <c r="G30" s="51"/>
      <c r="H30" s="66">
        <f>SUM(I30,M30)</f>
        <v>0</v>
      </c>
      <c r="I30" s="66">
        <f>SUM(J30:L30)</f>
        <v>0</v>
      </c>
      <c r="J30" s="66"/>
      <c r="K30" s="66"/>
      <c r="L30" s="66">
        <v>0</v>
      </c>
      <c r="M30" s="66">
        <f>SUM(N30:Q30)</f>
        <v>0</v>
      </c>
      <c r="N30" s="66"/>
      <c r="O30" s="66"/>
      <c r="P30" s="66"/>
      <c r="Q30" s="66"/>
    </row>
    <row r="31" spans="1:17" ht="11.25">
      <c r="A31" s="167"/>
      <c r="B31" s="172" t="s">
        <v>495</v>
      </c>
      <c r="C31" s="66"/>
      <c r="D31" s="66"/>
      <c r="E31" s="163">
        <v>100000</v>
      </c>
      <c r="F31" s="163"/>
      <c r="G31" s="163"/>
      <c r="H31" s="66"/>
      <c r="I31" s="66"/>
      <c r="J31" s="66"/>
      <c r="K31" s="66"/>
      <c r="L31" s="66"/>
      <c r="M31" s="66"/>
      <c r="N31" s="66"/>
      <c r="O31" s="66"/>
      <c r="P31" s="66"/>
      <c r="Q31" s="66"/>
    </row>
    <row r="32" spans="1:17" ht="11.25">
      <c r="A32" s="167"/>
      <c r="B32" s="172" t="s">
        <v>496</v>
      </c>
      <c r="C32" s="66"/>
      <c r="D32" s="66"/>
      <c r="E32" s="163">
        <v>3000000</v>
      </c>
      <c r="F32" s="163">
        <v>775000</v>
      </c>
      <c r="G32" s="163">
        <v>2325000</v>
      </c>
      <c r="H32" s="66"/>
      <c r="I32" s="66"/>
      <c r="J32" s="66"/>
      <c r="K32" s="66"/>
      <c r="L32" s="66"/>
      <c r="M32" s="66"/>
      <c r="N32" s="66"/>
      <c r="O32" s="66"/>
      <c r="P32" s="66"/>
      <c r="Q32" s="66"/>
    </row>
    <row r="33" spans="1:17" ht="11.25">
      <c r="A33" s="175"/>
      <c r="B33" s="173" t="s">
        <v>691</v>
      </c>
      <c r="C33" s="166"/>
      <c r="D33" s="166"/>
      <c r="E33" s="629"/>
      <c r="F33" s="629"/>
      <c r="G33" s="629"/>
      <c r="H33" s="622"/>
      <c r="I33" s="622"/>
      <c r="J33" s="622"/>
      <c r="K33" s="622"/>
      <c r="L33" s="622"/>
      <c r="M33" s="622"/>
      <c r="N33" s="622"/>
      <c r="O33" s="622"/>
      <c r="P33" s="622"/>
      <c r="Q33" s="622"/>
    </row>
    <row r="34" spans="1:17" ht="12.75">
      <c r="A34" s="167"/>
      <c r="B34" s="698" t="s">
        <v>692</v>
      </c>
      <c r="C34" s="699"/>
      <c r="D34" s="699"/>
      <c r="E34" s="699"/>
      <c r="F34" s="699"/>
      <c r="G34" s="699"/>
      <c r="H34" s="699"/>
      <c r="I34" s="699"/>
      <c r="J34" s="699"/>
      <c r="K34" s="699"/>
      <c r="L34" s="699"/>
      <c r="M34" s="699"/>
      <c r="N34" s="699"/>
      <c r="O34" s="699"/>
      <c r="P34" s="699"/>
      <c r="Q34" s="700"/>
    </row>
    <row r="35" spans="1:17" s="59" customFormat="1" ht="12.75">
      <c r="A35" s="167"/>
      <c r="B35" s="698" t="s">
        <v>686</v>
      </c>
      <c r="C35" s="699"/>
      <c r="D35" s="699"/>
      <c r="E35" s="699"/>
      <c r="F35" s="699"/>
      <c r="G35" s="699"/>
      <c r="H35" s="699"/>
      <c r="I35" s="699"/>
      <c r="J35" s="699"/>
      <c r="K35" s="699"/>
      <c r="L35" s="699"/>
      <c r="M35" s="699"/>
      <c r="N35" s="699"/>
      <c r="O35" s="699"/>
      <c r="P35" s="699"/>
      <c r="Q35" s="700"/>
    </row>
    <row r="36" spans="1:17" ht="12.75">
      <c r="A36" s="167"/>
      <c r="B36" s="698" t="s">
        <v>689</v>
      </c>
      <c r="C36" s="699"/>
      <c r="D36" s="699"/>
      <c r="E36" s="699"/>
      <c r="F36" s="699"/>
      <c r="G36" s="699"/>
      <c r="H36" s="699"/>
      <c r="I36" s="699"/>
      <c r="J36" s="699"/>
      <c r="K36" s="699"/>
      <c r="L36" s="699"/>
      <c r="M36" s="699"/>
      <c r="N36" s="699"/>
      <c r="O36" s="699"/>
      <c r="P36" s="699"/>
      <c r="Q36" s="700"/>
    </row>
    <row r="37" spans="1:17" ht="12.75">
      <c r="A37" s="167" t="s">
        <v>94</v>
      </c>
      <c r="B37" s="698" t="s">
        <v>497</v>
      </c>
      <c r="C37" s="699"/>
      <c r="D37" s="699"/>
      <c r="E37" s="699"/>
      <c r="F37" s="699"/>
      <c r="G37" s="699"/>
      <c r="H37" s="699"/>
      <c r="I37" s="699"/>
      <c r="J37" s="699"/>
      <c r="K37" s="699"/>
      <c r="L37" s="699"/>
      <c r="M37" s="699"/>
      <c r="N37" s="699"/>
      <c r="O37" s="699"/>
      <c r="P37" s="699"/>
      <c r="Q37" s="700"/>
    </row>
    <row r="38" spans="1:17" ht="11.25">
      <c r="A38" s="167"/>
      <c r="B38" s="168" t="s">
        <v>494</v>
      </c>
      <c r="C38" s="174"/>
      <c r="D38" s="161">
        <v>900.90001</v>
      </c>
      <c r="E38" s="162">
        <v>4100000</v>
      </c>
      <c r="F38" s="162">
        <v>1100000</v>
      </c>
      <c r="G38" s="162">
        <v>3075000</v>
      </c>
      <c r="H38" s="174"/>
      <c r="I38" s="174"/>
      <c r="J38" s="174"/>
      <c r="K38" s="174"/>
      <c r="L38" s="174"/>
      <c r="M38" s="174"/>
      <c r="N38" s="174"/>
      <c r="O38" s="174"/>
      <c r="P38" s="174"/>
      <c r="Q38" s="174"/>
    </row>
    <row r="39" spans="1:17" ht="11.25">
      <c r="A39" s="167"/>
      <c r="B39" s="172" t="s">
        <v>690</v>
      </c>
      <c r="C39" s="66"/>
      <c r="D39" s="66"/>
      <c r="E39" s="163"/>
      <c r="F39" s="163"/>
      <c r="G39" s="51"/>
      <c r="H39" s="66">
        <f>SUM(I39,M39)</f>
        <v>0</v>
      </c>
      <c r="I39" s="66">
        <f>SUM(J39:L39)</f>
        <v>0</v>
      </c>
      <c r="J39" s="66"/>
      <c r="K39" s="66"/>
      <c r="L39" s="66">
        <v>0</v>
      </c>
      <c r="M39" s="66">
        <f>SUM(N39:Q39)</f>
        <v>0</v>
      </c>
      <c r="N39" s="66"/>
      <c r="O39" s="66"/>
      <c r="P39" s="66"/>
      <c r="Q39" s="66"/>
    </row>
    <row r="40" spans="1:17" ht="11.25">
      <c r="A40" s="167"/>
      <c r="B40" s="172" t="s">
        <v>495</v>
      </c>
      <c r="C40" s="66"/>
      <c r="D40" s="66"/>
      <c r="E40" s="163">
        <v>100000</v>
      </c>
      <c r="F40" s="163"/>
      <c r="G40" s="163"/>
      <c r="H40" s="66"/>
      <c r="I40" s="66"/>
      <c r="J40" s="66"/>
      <c r="K40" s="66"/>
      <c r="L40" s="66"/>
      <c r="M40" s="66"/>
      <c r="N40" s="66"/>
      <c r="O40" s="66"/>
      <c r="P40" s="66"/>
      <c r="Q40" s="66"/>
    </row>
    <row r="41" spans="1:17" ht="11.25">
      <c r="A41" s="167"/>
      <c r="B41" s="172" t="s">
        <v>496</v>
      </c>
      <c r="C41" s="66"/>
      <c r="D41" s="66"/>
      <c r="E41" s="163">
        <v>4000000</v>
      </c>
      <c r="F41" s="163">
        <v>1100000</v>
      </c>
      <c r="G41" s="163">
        <v>3075000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</row>
    <row r="42" spans="1:17" ht="11.25">
      <c r="A42" s="175"/>
      <c r="B42" s="173" t="s">
        <v>691</v>
      </c>
      <c r="C42" s="166"/>
      <c r="D42" s="166"/>
      <c r="E42" s="52"/>
      <c r="F42" s="52"/>
      <c r="G42" s="52"/>
      <c r="H42" s="166"/>
      <c r="I42" s="166"/>
      <c r="J42" s="166"/>
      <c r="K42" s="166"/>
      <c r="L42" s="166"/>
      <c r="M42" s="166"/>
      <c r="N42" s="166"/>
      <c r="O42" s="166"/>
      <c r="P42" s="166"/>
      <c r="Q42" s="166"/>
    </row>
    <row r="43" spans="1:17" ht="12.75">
      <c r="A43" s="705" t="s">
        <v>693</v>
      </c>
      <c r="B43" s="698" t="s">
        <v>498</v>
      </c>
      <c r="C43" s="699"/>
      <c r="D43" s="699"/>
      <c r="E43" s="699"/>
      <c r="F43" s="699"/>
      <c r="G43" s="699"/>
      <c r="H43" s="699"/>
      <c r="I43" s="699"/>
      <c r="J43" s="699"/>
      <c r="K43" s="699"/>
      <c r="L43" s="699"/>
      <c r="M43" s="699"/>
      <c r="N43" s="699"/>
      <c r="O43" s="699"/>
      <c r="P43" s="699"/>
      <c r="Q43" s="700"/>
    </row>
    <row r="44" spans="1:17" ht="12.75">
      <c r="A44" s="705"/>
      <c r="B44" s="698" t="s">
        <v>499</v>
      </c>
      <c r="C44" s="699"/>
      <c r="D44" s="699"/>
      <c r="E44" s="699"/>
      <c r="F44" s="699"/>
      <c r="G44" s="699"/>
      <c r="H44" s="699"/>
      <c r="I44" s="699"/>
      <c r="J44" s="699"/>
      <c r="K44" s="699"/>
      <c r="L44" s="699"/>
      <c r="M44" s="699"/>
      <c r="N44" s="699"/>
      <c r="O44" s="699"/>
      <c r="P44" s="699"/>
      <c r="Q44" s="700"/>
    </row>
    <row r="45" spans="1:17" ht="12.75">
      <c r="A45" s="705"/>
      <c r="B45" s="698" t="s">
        <v>500</v>
      </c>
      <c r="C45" s="699"/>
      <c r="D45" s="699"/>
      <c r="E45" s="699"/>
      <c r="F45" s="699"/>
      <c r="G45" s="699"/>
      <c r="H45" s="699"/>
      <c r="I45" s="699"/>
      <c r="J45" s="699"/>
      <c r="K45" s="699"/>
      <c r="L45" s="699"/>
      <c r="M45" s="699"/>
      <c r="N45" s="699"/>
      <c r="O45" s="699"/>
      <c r="P45" s="699"/>
      <c r="Q45" s="700"/>
    </row>
    <row r="46" spans="1:17" s="59" customFormat="1" ht="12.75">
      <c r="A46" s="705"/>
      <c r="B46" s="698" t="s">
        <v>501</v>
      </c>
      <c r="C46" s="699"/>
      <c r="D46" s="699"/>
      <c r="E46" s="699"/>
      <c r="F46" s="699"/>
      <c r="G46" s="699"/>
      <c r="H46" s="699"/>
      <c r="I46" s="699"/>
      <c r="J46" s="699"/>
      <c r="K46" s="699"/>
      <c r="L46" s="699"/>
      <c r="M46" s="699"/>
      <c r="N46" s="699"/>
      <c r="O46" s="699"/>
      <c r="P46" s="699"/>
      <c r="Q46" s="700"/>
    </row>
    <row r="47" spans="1:17" ht="11.25">
      <c r="A47" s="705"/>
      <c r="B47" s="176" t="s">
        <v>92</v>
      </c>
      <c r="C47" s="170"/>
      <c r="D47" s="170">
        <v>900.90001</v>
      </c>
      <c r="E47" s="171">
        <v>8200000</v>
      </c>
      <c r="F47" s="171">
        <v>1230000</v>
      </c>
      <c r="G47" s="171">
        <v>6970000</v>
      </c>
      <c r="H47" s="171"/>
      <c r="I47" s="170"/>
      <c r="J47" s="170"/>
      <c r="K47" s="170"/>
      <c r="L47" s="171"/>
      <c r="M47" s="170"/>
      <c r="N47" s="170"/>
      <c r="O47" s="170"/>
      <c r="P47" s="170"/>
      <c r="Q47" s="170"/>
    </row>
    <row r="48" spans="1:17" ht="11.25">
      <c r="A48" s="705"/>
      <c r="B48" s="172" t="s">
        <v>687</v>
      </c>
      <c r="C48" s="66"/>
      <c r="D48" s="66"/>
      <c r="E48" s="163">
        <v>100000</v>
      </c>
      <c r="F48" s="163"/>
      <c r="G48" s="163"/>
      <c r="H48" s="164">
        <f>SUM(I48,M48)</f>
        <v>100000</v>
      </c>
      <c r="I48" s="164">
        <f>SUM(J48:L48)</f>
        <v>100000</v>
      </c>
      <c r="J48" s="164"/>
      <c r="K48" s="164"/>
      <c r="L48" s="164">
        <v>100000</v>
      </c>
      <c r="M48" s="164">
        <f>SUM(N48:Q48)</f>
        <v>0</v>
      </c>
      <c r="N48" s="164"/>
      <c r="O48" s="164"/>
      <c r="P48" s="164"/>
      <c r="Q48" s="66"/>
    </row>
    <row r="49" spans="1:17" ht="11.25">
      <c r="A49" s="705"/>
      <c r="B49" s="172" t="s">
        <v>61</v>
      </c>
      <c r="C49" s="66"/>
      <c r="D49" s="66"/>
      <c r="E49" s="163">
        <v>8100000</v>
      </c>
      <c r="F49" s="163">
        <v>1230000</v>
      </c>
      <c r="G49" s="163">
        <v>6970000</v>
      </c>
      <c r="H49" s="66"/>
      <c r="I49" s="66"/>
      <c r="J49" s="66"/>
      <c r="K49" s="66"/>
      <c r="L49" s="66"/>
      <c r="M49" s="66"/>
      <c r="N49" s="66"/>
      <c r="O49" s="66"/>
      <c r="P49" s="66"/>
      <c r="Q49" s="66"/>
    </row>
    <row r="50" spans="1:17" ht="11.25">
      <c r="A50" s="705"/>
      <c r="B50" s="172" t="s">
        <v>694</v>
      </c>
      <c r="C50" s="66"/>
      <c r="D50" s="66"/>
      <c r="E50" s="163"/>
      <c r="F50" s="163"/>
      <c r="G50" s="163"/>
      <c r="H50" s="164"/>
      <c r="I50" s="164"/>
      <c r="J50" s="164"/>
      <c r="K50" s="164"/>
      <c r="L50" s="164"/>
      <c r="M50" s="164"/>
      <c r="N50" s="164"/>
      <c r="O50" s="164"/>
      <c r="P50" s="164"/>
      <c r="Q50" s="164"/>
    </row>
    <row r="51" spans="1:17" ht="11.25">
      <c r="A51" s="710"/>
      <c r="B51" s="173" t="s">
        <v>688</v>
      </c>
      <c r="C51" s="166"/>
      <c r="D51" s="166"/>
      <c r="E51" s="621"/>
      <c r="F51" s="621"/>
      <c r="G51" s="621"/>
      <c r="H51" s="622"/>
      <c r="I51" s="622"/>
      <c r="J51" s="622"/>
      <c r="K51" s="622"/>
      <c r="L51" s="622"/>
      <c r="M51" s="622"/>
      <c r="N51" s="622"/>
      <c r="O51" s="622"/>
      <c r="P51" s="622"/>
      <c r="Q51" s="622"/>
    </row>
    <row r="52" spans="1:17" ht="12.75">
      <c r="A52" s="711" t="s">
        <v>695</v>
      </c>
      <c r="B52" s="699" t="s">
        <v>696</v>
      </c>
      <c r="C52" s="699"/>
      <c r="D52" s="699"/>
      <c r="E52" s="699"/>
      <c r="F52" s="699"/>
      <c r="G52" s="699"/>
      <c r="H52" s="699"/>
      <c r="I52" s="699"/>
      <c r="J52" s="699"/>
      <c r="K52" s="699"/>
      <c r="L52" s="699"/>
      <c r="M52" s="699"/>
      <c r="N52" s="699"/>
      <c r="O52" s="699"/>
      <c r="P52" s="699"/>
      <c r="Q52" s="700"/>
    </row>
    <row r="53" spans="1:17" ht="12.75">
      <c r="A53" s="712"/>
      <c r="B53" s="699" t="s">
        <v>697</v>
      </c>
      <c r="C53" s="699"/>
      <c r="D53" s="699"/>
      <c r="E53" s="699"/>
      <c r="F53" s="699"/>
      <c r="G53" s="699"/>
      <c r="H53" s="699"/>
      <c r="I53" s="699"/>
      <c r="J53" s="699"/>
      <c r="K53" s="699"/>
      <c r="L53" s="699"/>
      <c r="M53" s="699"/>
      <c r="N53" s="699"/>
      <c r="O53" s="699"/>
      <c r="P53" s="699"/>
      <c r="Q53" s="700"/>
    </row>
    <row r="54" spans="1:17" ht="12.75">
      <c r="A54" s="712"/>
      <c r="B54" s="699" t="s">
        <v>698</v>
      </c>
      <c r="C54" s="699"/>
      <c r="D54" s="699"/>
      <c r="E54" s="699"/>
      <c r="F54" s="699"/>
      <c r="G54" s="699"/>
      <c r="H54" s="699"/>
      <c r="I54" s="699"/>
      <c r="J54" s="699"/>
      <c r="K54" s="699"/>
      <c r="L54" s="699"/>
      <c r="M54" s="699"/>
      <c r="N54" s="699"/>
      <c r="O54" s="699"/>
      <c r="P54" s="699"/>
      <c r="Q54" s="700"/>
    </row>
    <row r="55" spans="1:17" ht="12.75">
      <c r="A55" s="712"/>
      <c r="B55" s="699" t="s">
        <v>699</v>
      </c>
      <c r="C55" s="699"/>
      <c r="D55" s="699"/>
      <c r="E55" s="699"/>
      <c r="F55" s="699"/>
      <c r="G55" s="699"/>
      <c r="H55" s="699"/>
      <c r="I55" s="699"/>
      <c r="J55" s="699"/>
      <c r="K55" s="699"/>
      <c r="L55" s="699"/>
      <c r="M55" s="699"/>
      <c r="N55" s="699"/>
      <c r="O55" s="699"/>
      <c r="P55" s="699"/>
      <c r="Q55" s="700"/>
    </row>
    <row r="56" spans="1:17" ht="11.25">
      <c r="A56" s="712"/>
      <c r="B56" s="623" t="s">
        <v>92</v>
      </c>
      <c r="C56" s="170"/>
      <c r="D56" s="170">
        <v>600.60016</v>
      </c>
      <c r="E56" s="171">
        <f>SUM(E57:E60)</f>
        <v>5000000</v>
      </c>
      <c r="F56" s="171">
        <f>E56-G56</f>
        <v>2500000</v>
      </c>
      <c r="G56" s="171">
        <f>50%*E56</f>
        <v>2500000</v>
      </c>
      <c r="H56" s="171"/>
      <c r="I56" s="171"/>
      <c r="J56" s="171"/>
      <c r="K56" s="171"/>
      <c r="L56" s="171"/>
      <c r="M56" s="171"/>
      <c r="N56" s="171"/>
      <c r="O56" s="171"/>
      <c r="P56" s="171"/>
      <c r="Q56" s="624"/>
    </row>
    <row r="57" spans="1:17" ht="11.25">
      <c r="A57" s="712"/>
      <c r="B57" s="625" t="s">
        <v>687</v>
      </c>
      <c r="C57" s="51"/>
      <c r="D57" s="51"/>
      <c r="E57" s="163">
        <v>1000000</v>
      </c>
      <c r="F57" s="163">
        <f>E57-G57</f>
        <v>500000</v>
      </c>
      <c r="G57" s="163">
        <f>50%*E57</f>
        <v>500000</v>
      </c>
      <c r="H57" s="164">
        <f>SUM(I57,M57)</f>
        <v>1000000</v>
      </c>
      <c r="I57" s="164">
        <f>SUM(J57:L57)</f>
        <v>1000000</v>
      </c>
      <c r="J57" s="163"/>
      <c r="K57" s="163"/>
      <c r="L57" s="163">
        <v>1000000</v>
      </c>
      <c r="M57" s="164">
        <f>SUM(N57:Q57)</f>
        <v>0</v>
      </c>
      <c r="N57" s="163"/>
      <c r="O57" s="163"/>
      <c r="P57" s="163"/>
      <c r="Q57" s="626"/>
    </row>
    <row r="58" spans="1:17" ht="11.25">
      <c r="A58" s="712"/>
      <c r="B58" s="625" t="s">
        <v>61</v>
      </c>
      <c r="C58" s="51"/>
      <c r="D58" s="51"/>
      <c r="E58" s="163">
        <v>2000000</v>
      </c>
      <c r="F58" s="163">
        <f>E58-G58</f>
        <v>1000000</v>
      </c>
      <c r="G58" s="163">
        <f>50%*E58</f>
        <v>1000000</v>
      </c>
      <c r="H58" s="163"/>
      <c r="I58" s="163"/>
      <c r="J58" s="163"/>
      <c r="K58" s="163"/>
      <c r="L58" s="163"/>
      <c r="M58" s="163"/>
      <c r="N58" s="163"/>
      <c r="O58" s="163"/>
      <c r="P58" s="163"/>
      <c r="Q58" s="626"/>
    </row>
    <row r="59" spans="1:17" ht="11.25">
      <c r="A59" s="712"/>
      <c r="B59" s="625" t="s">
        <v>647</v>
      </c>
      <c r="C59" s="51"/>
      <c r="D59" s="51"/>
      <c r="E59" s="163">
        <v>2000000</v>
      </c>
      <c r="F59" s="163">
        <f>E59-G59</f>
        <v>1000000</v>
      </c>
      <c r="G59" s="163">
        <f>50%*E59</f>
        <v>1000000</v>
      </c>
      <c r="H59" s="163"/>
      <c r="I59" s="163"/>
      <c r="J59" s="163"/>
      <c r="K59" s="163"/>
      <c r="L59" s="163"/>
      <c r="M59" s="163"/>
      <c r="N59" s="163"/>
      <c r="O59" s="163"/>
      <c r="P59" s="163"/>
      <c r="Q59" s="626"/>
    </row>
    <row r="60" spans="1:17" ht="11.25">
      <c r="A60" s="713"/>
      <c r="B60" s="627" t="s">
        <v>688</v>
      </c>
      <c r="C60" s="52"/>
      <c r="D60" s="52"/>
      <c r="E60" s="621"/>
      <c r="F60" s="621"/>
      <c r="G60" s="621"/>
      <c r="H60" s="621"/>
      <c r="I60" s="621"/>
      <c r="J60" s="621"/>
      <c r="K60" s="621"/>
      <c r="L60" s="621"/>
      <c r="M60" s="621"/>
      <c r="N60" s="621"/>
      <c r="O60" s="621"/>
      <c r="P60" s="621"/>
      <c r="Q60" s="628"/>
    </row>
    <row r="61" spans="1:17" ht="12.75" customHeight="1">
      <c r="A61" s="713" t="s">
        <v>695</v>
      </c>
      <c r="B61" s="698" t="s">
        <v>696</v>
      </c>
      <c r="C61" s="699"/>
      <c r="D61" s="699"/>
      <c r="E61" s="699"/>
      <c r="F61" s="699"/>
      <c r="G61" s="699"/>
      <c r="H61" s="699"/>
      <c r="I61" s="699"/>
      <c r="J61" s="699"/>
      <c r="K61" s="699"/>
      <c r="L61" s="699"/>
      <c r="M61" s="699"/>
      <c r="N61" s="699"/>
      <c r="O61" s="699"/>
      <c r="P61" s="699"/>
      <c r="Q61" s="700"/>
    </row>
    <row r="62" spans="1:17" ht="12.75" customHeight="1">
      <c r="A62" s="697"/>
      <c r="B62" s="698" t="s">
        <v>700</v>
      </c>
      <c r="C62" s="699"/>
      <c r="D62" s="699"/>
      <c r="E62" s="699"/>
      <c r="F62" s="699"/>
      <c r="G62" s="699"/>
      <c r="H62" s="699"/>
      <c r="I62" s="699"/>
      <c r="J62" s="699"/>
      <c r="K62" s="699"/>
      <c r="L62" s="699"/>
      <c r="M62" s="699"/>
      <c r="N62" s="699"/>
      <c r="O62" s="699"/>
      <c r="P62" s="699"/>
      <c r="Q62" s="700"/>
    </row>
    <row r="63" spans="1:17" ht="12.75">
      <c r="A63" s="697"/>
      <c r="B63" s="698" t="s">
        <v>701</v>
      </c>
      <c r="C63" s="699"/>
      <c r="D63" s="699"/>
      <c r="E63" s="699"/>
      <c r="F63" s="699"/>
      <c r="G63" s="699"/>
      <c r="H63" s="699"/>
      <c r="I63" s="699"/>
      <c r="J63" s="699"/>
      <c r="K63" s="699"/>
      <c r="L63" s="699"/>
      <c r="M63" s="699"/>
      <c r="N63" s="699"/>
      <c r="O63" s="699"/>
      <c r="P63" s="699"/>
      <c r="Q63" s="700"/>
    </row>
    <row r="64" spans="1:17" ht="12.75" customHeight="1">
      <c r="A64" s="697"/>
      <c r="B64" s="698" t="s">
        <v>702</v>
      </c>
      <c r="C64" s="699"/>
      <c r="D64" s="699"/>
      <c r="E64" s="699"/>
      <c r="F64" s="699"/>
      <c r="G64" s="699"/>
      <c r="H64" s="699"/>
      <c r="I64" s="699"/>
      <c r="J64" s="699"/>
      <c r="K64" s="699"/>
      <c r="L64" s="699"/>
      <c r="M64" s="699"/>
      <c r="N64" s="699"/>
      <c r="O64" s="699"/>
      <c r="P64" s="699"/>
      <c r="Q64" s="700"/>
    </row>
    <row r="65" spans="1:17" ht="11.25">
      <c r="A65" s="697"/>
      <c r="B65" s="176" t="s">
        <v>92</v>
      </c>
      <c r="C65" s="170"/>
      <c r="D65" s="170">
        <v>851.85121</v>
      </c>
      <c r="E65" s="171">
        <v>1700000</v>
      </c>
      <c r="F65" s="171">
        <f>E65-G65</f>
        <v>255000</v>
      </c>
      <c r="G65" s="171">
        <f>85%*E65</f>
        <v>1445000</v>
      </c>
      <c r="H65" s="171"/>
      <c r="I65" s="171"/>
      <c r="J65" s="171"/>
      <c r="K65" s="171"/>
      <c r="L65" s="171"/>
      <c r="M65" s="171"/>
      <c r="N65" s="171"/>
      <c r="O65" s="171"/>
      <c r="P65" s="171"/>
      <c r="Q65" s="624"/>
    </row>
    <row r="66" spans="1:17" ht="11.25">
      <c r="A66" s="697"/>
      <c r="B66" s="172" t="s">
        <v>687</v>
      </c>
      <c r="C66" s="51"/>
      <c r="D66" s="51"/>
      <c r="E66" s="163"/>
      <c r="F66" s="163">
        <f>E66-G66</f>
        <v>0</v>
      </c>
      <c r="G66" s="163">
        <f>85%*E66</f>
        <v>0</v>
      </c>
      <c r="H66" s="66">
        <f>SUM(I66,M66)</f>
        <v>0</v>
      </c>
      <c r="I66" s="66">
        <f>SUM(J66:L66)</f>
        <v>0</v>
      </c>
      <c r="J66" s="163"/>
      <c r="K66" s="163"/>
      <c r="L66" s="163">
        <v>0</v>
      </c>
      <c r="M66" s="66">
        <f>SUM(N66:Q66)</f>
        <v>0</v>
      </c>
      <c r="N66" s="163"/>
      <c r="O66" s="163"/>
      <c r="P66" s="163"/>
      <c r="Q66" s="626"/>
    </row>
    <row r="67" spans="1:17" ht="11.25">
      <c r="A67" s="697"/>
      <c r="B67" s="172" t="s">
        <v>61</v>
      </c>
      <c r="C67" s="51"/>
      <c r="D67" s="51"/>
      <c r="E67" s="163">
        <v>700000</v>
      </c>
      <c r="F67" s="163">
        <f>E67-G67</f>
        <v>105000</v>
      </c>
      <c r="G67" s="163">
        <f>85%*E67</f>
        <v>595000</v>
      </c>
      <c r="H67" s="163"/>
      <c r="I67" s="163"/>
      <c r="J67" s="163"/>
      <c r="K67" s="163"/>
      <c r="L67" s="163"/>
      <c r="M67" s="163"/>
      <c r="N67" s="163"/>
      <c r="O67" s="163"/>
      <c r="P67" s="163"/>
      <c r="Q67" s="626"/>
    </row>
    <row r="68" spans="1:17" ht="11.25">
      <c r="A68" s="697"/>
      <c r="B68" s="172" t="s">
        <v>647</v>
      </c>
      <c r="C68" s="51"/>
      <c r="D68" s="51"/>
      <c r="E68" s="163">
        <v>1000000</v>
      </c>
      <c r="F68" s="163">
        <f>E68-G68</f>
        <v>150000</v>
      </c>
      <c r="G68" s="163">
        <f>85%*E68</f>
        <v>850000</v>
      </c>
      <c r="H68" s="163"/>
      <c r="I68" s="163"/>
      <c r="J68" s="163"/>
      <c r="K68" s="163"/>
      <c r="L68" s="163"/>
      <c r="M68" s="163"/>
      <c r="N68" s="163"/>
      <c r="O68" s="163"/>
      <c r="P68" s="163"/>
      <c r="Q68" s="626"/>
    </row>
    <row r="69" spans="1:17" ht="11.25">
      <c r="A69" s="697"/>
      <c r="B69" s="173" t="s">
        <v>688</v>
      </c>
      <c r="C69" s="52"/>
      <c r="D69" s="52"/>
      <c r="E69" s="621"/>
      <c r="F69" s="621"/>
      <c r="G69" s="621"/>
      <c r="H69" s="621"/>
      <c r="I69" s="621"/>
      <c r="J69" s="621"/>
      <c r="K69" s="621"/>
      <c r="L69" s="621"/>
      <c r="M69" s="621"/>
      <c r="N69" s="621"/>
      <c r="O69" s="621"/>
      <c r="P69" s="621"/>
      <c r="Q69" s="628"/>
    </row>
    <row r="70" spans="1:17" ht="12.75">
      <c r="A70" s="697" t="s">
        <v>695</v>
      </c>
      <c r="B70" s="698" t="s">
        <v>696</v>
      </c>
      <c r="C70" s="699"/>
      <c r="D70" s="699"/>
      <c r="E70" s="699"/>
      <c r="F70" s="699"/>
      <c r="G70" s="699"/>
      <c r="H70" s="699"/>
      <c r="I70" s="699"/>
      <c r="J70" s="699"/>
      <c r="K70" s="699"/>
      <c r="L70" s="699"/>
      <c r="M70" s="699"/>
      <c r="N70" s="699"/>
      <c r="O70" s="699"/>
      <c r="P70" s="699"/>
      <c r="Q70" s="700"/>
    </row>
    <row r="71" spans="1:17" ht="12.75">
      <c r="A71" s="697"/>
      <c r="B71" s="698" t="s">
        <v>703</v>
      </c>
      <c r="C71" s="699"/>
      <c r="D71" s="699"/>
      <c r="E71" s="699"/>
      <c r="F71" s="699"/>
      <c r="G71" s="699"/>
      <c r="H71" s="699"/>
      <c r="I71" s="699"/>
      <c r="J71" s="699"/>
      <c r="K71" s="699"/>
      <c r="L71" s="699"/>
      <c r="M71" s="699"/>
      <c r="N71" s="699"/>
      <c r="O71" s="699"/>
      <c r="P71" s="699"/>
      <c r="Q71" s="700"/>
    </row>
    <row r="72" spans="1:17" ht="12.75">
      <c r="A72" s="697"/>
      <c r="B72" s="698" t="s">
        <v>704</v>
      </c>
      <c r="C72" s="699"/>
      <c r="D72" s="699"/>
      <c r="E72" s="699"/>
      <c r="F72" s="699"/>
      <c r="G72" s="699"/>
      <c r="H72" s="699"/>
      <c r="I72" s="699"/>
      <c r="J72" s="699"/>
      <c r="K72" s="699"/>
      <c r="L72" s="699"/>
      <c r="M72" s="699"/>
      <c r="N72" s="699"/>
      <c r="O72" s="699"/>
      <c r="P72" s="699"/>
      <c r="Q72" s="700"/>
    </row>
    <row r="73" spans="1:17" ht="12.75">
      <c r="A73" s="697"/>
      <c r="B73" s="698" t="s">
        <v>705</v>
      </c>
      <c r="C73" s="699"/>
      <c r="D73" s="699"/>
      <c r="E73" s="699"/>
      <c r="F73" s="699"/>
      <c r="G73" s="699"/>
      <c r="H73" s="699"/>
      <c r="I73" s="699"/>
      <c r="J73" s="699"/>
      <c r="K73" s="699"/>
      <c r="L73" s="699"/>
      <c r="M73" s="699"/>
      <c r="N73" s="699"/>
      <c r="O73" s="699"/>
      <c r="P73" s="699"/>
      <c r="Q73" s="700"/>
    </row>
    <row r="74" spans="1:17" ht="11.25">
      <c r="A74" s="697"/>
      <c r="B74" s="176" t="s">
        <v>92</v>
      </c>
      <c r="C74" s="170"/>
      <c r="D74" s="170">
        <v>926.92695</v>
      </c>
      <c r="E74" s="171">
        <f>SUM(E75:E78)</f>
        <v>3300000</v>
      </c>
      <c r="F74" s="171">
        <f>E74-G74</f>
        <v>495000</v>
      </c>
      <c r="G74" s="171">
        <f>85%*E74</f>
        <v>2805000</v>
      </c>
      <c r="H74" s="171"/>
      <c r="I74" s="171"/>
      <c r="J74" s="171"/>
      <c r="K74" s="171"/>
      <c r="L74" s="171"/>
      <c r="M74" s="171"/>
      <c r="N74" s="171"/>
      <c r="O74" s="171"/>
      <c r="P74" s="171"/>
      <c r="Q74" s="624"/>
    </row>
    <row r="75" spans="1:17" ht="11.25">
      <c r="A75" s="697"/>
      <c r="B75" s="172" t="s">
        <v>687</v>
      </c>
      <c r="C75" s="51"/>
      <c r="D75" s="51"/>
      <c r="E75" s="163">
        <v>300000</v>
      </c>
      <c r="F75" s="163">
        <f>E75-G75</f>
        <v>45000</v>
      </c>
      <c r="G75" s="163">
        <f>85%*E75</f>
        <v>255000</v>
      </c>
      <c r="H75" s="164">
        <f>SUM(I75,M75)</f>
        <v>300000</v>
      </c>
      <c r="I75" s="164">
        <f>SUM(J75:L75)</f>
        <v>300000</v>
      </c>
      <c r="J75" s="163"/>
      <c r="K75" s="163"/>
      <c r="L75" s="163">
        <v>300000</v>
      </c>
      <c r="M75" s="66">
        <f>SUM(N75:Q75)</f>
        <v>0</v>
      </c>
      <c r="N75" s="163"/>
      <c r="O75" s="163"/>
      <c r="P75" s="163"/>
      <c r="Q75" s="626"/>
    </row>
    <row r="76" spans="1:17" ht="11.25">
      <c r="A76" s="697"/>
      <c r="B76" s="172" t="s">
        <v>61</v>
      </c>
      <c r="C76" s="51"/>
      <c r="D76" s="51"/>
      <c r="E76" s="163">
        <v>2000000</v>
      </c>
      <c r="F76" s="163">
        <f>E76-G76</f>
        <v>300000</v>
      </c>
      <c r="G76" s="163">
        <f>85%*E76</f>
        <v>1700000</v>
      </c>
      <c r="H76" s="163"/>
      <c r="I76" s="163"/>
      <c r="J76" s="163"/>
      <c r="K76" s="163"/>
      <c r="L76" s="163"/>
      <c r="M76" s="163"/>
      <c r="N76" s="163"/>
      <c r="O76" s="163"/>
      <c r="P76" s="163"/>
      <c r="Q76" s="626"/>
    </row>
    <row r="77" spans="1:17" ht="11.25">
      <c r="A77" s="697"/>
      <c r="B77" s="172" t="s">
        <v>647</v>
      </c>
      <c r="C77" s="51"/>
      <c r="D77" s="51"/>
      <c r="E77" s="163">
        <v>1000000</v>
      </c>
      <c r="F77" s="163">
        <f>E77-G77</f>
        <v>150000</v>
      </c>
      <c r="G77" s="163">
        <f>85%*E77</f>
        <v>850000</v>
      </c>
      <c r="H77" s="163"/>
      <c r="I77" s="163"/>
      <c r="J77" s="163"/>
      <c r="K77" s="163"/>
      <c r="L77" s="163"/>
      <c r="M77" s="163"/>
      <c r="N77" s="163"/>
      <c r="O77" s="163"/>
      <c r="P77" s="163"/>
      <c r="Q77" s="626"/>
    </row>
    <row r="78" spans="1:17" ht="11.25">
      <c r="A78" s="697"/>
      <c r="B78" s="173" t="s">
        <v>688</v>
      </c>
      <c r="C78" s="52"/>
      <c r="D78" s="52"/>
      <c r="E78" s="621"/>
      <c r="F78" s="621"/>
      <c r="G78" s="621"/>
      <c r="H78" s="621"/>
      <c r="I78" s="621"/>
      <c r="J78" s="621"/>
      <c r="K78" s="621"/>
      <c r="L78" s="621"/>
      <c r="M78" s="621"/>
      <c r="N78" s="621"/>
      <c r="O78" s="621"/>
      <c r="P78" s="621"/>
      <c r="Q78" s="628"/>
    </row>
    <row r="79" spans="1:2" ht="11.25">
      <c r="A79" s="178"/>
      <c r="B79" s="177" t="s">
        <v>95</v>
      </c>
    </row>
    <row r="80" spans="1:17" ht="11.25">
      <c r="A80" s="695" t="s">
        <v>707</v>
      </c>
      <c r="B80" s="696"/>
      <c r="C80" s="695" t="s">
        <v>50</v>
      </c>
      <c r="D80" s="696"/>
      <c r="E80" s="160">
        <f>E15</f>
        <v>28400000</v>
      </c>
      <c r="F80" s="160">
        <f>F15</f>
        <v>7105000</v>
      </c>
      <c r="G80" s="160">
        <f>G15</f>
        <v>21370000</v>
      </c>
      <c r="H80" s="160">
        <f>H15</f>
        <v>1400000</v>
      </c>
      <c r="I80" s="42"/>
      <c r="J80" s="42"/>
      <c r="K80" s="42"/>
      <c r="L80" s="160">
        <f>L15</f>
        <v>1400000</v>
      </c>
      <c r="M80" s="42"/>
      <c r="N80" s="42"/>
      <c r="O80" s="42"/>
      <c r="P80" s="42"/>
      <c r="Q80" s="42"/>
    </row>
    <row r="82" spans="1:10" ht="11.25">
      <c r="A82" s="572" t="s">
        <v>98</v>
      </c>
      <c r="B82" s="572"/>
      <c r="C82" s="572"/>
      <c r="D82" s="572"/>
      <c r="E82" s="572"/>
      <c r="F82" s="572"/>
      <c r="G82" s="572"/>
      <c r="H82" s="572"/>
      <c r="I82" s="572"/>
      <c r="J82" s="572"/>
    </row>
    <row r="83" spans="1:10" ht="11.25">
      <c r="A83" s="65" t="s">
        <v>119</v>
      </c>
      <c r="B83" s="65"/>
      <c r="C83" s="65"/>
      <c r="D83" s="65"/>
      <c r="E83" s="65"/>
      <c r="F83" s="65"/>
      <c r="G83" s="65"/>
      <c r="H83" s="65"/>
      <c r="I83" s="65"/>
      <c r="J83" s="65"/>
    </row>
    <row r="84" spans="1:10" ht="11.25">
      <c r="A84" s="65" t="s">
        <v>706</v>
      </c>
      <c r="B84" s="65"/>
      <c r="C84" s="65"/>
      <c r="D84" s="65"/>
      <c r="E84" s="65"/>
      <c r="F84" s="65"/>
      <c r="G84" s="65"/>
      <c r="H84" s="65"/>
      <c r="I84" s="65"/>
      <c r="J84" s="65"/>
    </row>
  </sheetData>
  <mergeCells count="55">
    <mergeCell ref="A61:A69"/>
    <mergeCell ref="B61:Q61"/>
    <mergeCell ref="B62:Q62"/>
    <mergeCell ref="B63:Q63"/>
    <mergeCell ref="B64:Q64"/>
    <mergeCell ref="A52:A60"/>
    <mergeCell ref="B52:Q52"/>
    <mergeCell ref="B53:Q53"/>
    <mergeCell ref="B54:Q54"/>
    <mergeCell ref="B55:Q55"/>
    <mergeCell ref="A43:A51"/>
    <mergeCell ref="B43:Q43"/>
    <mergeCell ref="B44:Q44"/>
    <mergeCell ref="B45:Q45"/>
    <mergeCell ref="B46:Q46"/>
    <mergeCell ref="B34:Q34"/>
    <mergeCell ref="B35:Q35"/>
    <mergeCell ref="B36:Q36"/>
    <mergeCell ref="B37:Q37"/>
    <mergeCell ref="B25:Q25"/>
    <mergeCell ref="B26:Q26"/>
    <mergeCell ref="B27:Q27"/>
    <mergeCell ref="B28:Q28"/>
    <mergeCell ref="C15:D15"/>
    <mergeCell ref="A16:A24"/>
    <mergeCell ref="B16:Q16"/>
    <mergeCell ref="B17:Q17"/>
    <mergeCell ref="B18:Q18"/>
    <mergeCell ref="B19:Q19"/>
    <mergeCell ref="G9:G13"/>
    <mergeCell ref="I11:L11"/>
    <mergeCell ref="M11:Q11"/>
    <mergeCell ref="I12:I13"/>
    <mergeCell ref="J12:L12"/>
    <mergeCell ref="M12:M13"/>
    <mergeCell ref="N12:Q12"/>
    <mergeCell ref="H9:Q9"/>
    <mergeCell ref="H10:H13"/>
    <mergeCell ref="I10:Q10"/>
    <mergeCell ref="A6:Q6"/>
    <mergeCell ref="A8:A13"/>
    <mergeCell ref="B8:B13"/>
    <mergeCell ref="C8:C13"/>
    <mergeCell ref="D8:D13"/>
    <mergeCell ref="E8:E13"/>
    <mergeCell ref="F8:G8"/>
    <mergeCell ref="H8:Q8"/>
    <mergeCell ref="F9:F13"/>
    <mergeCell ref="A80:B80"/>
    <mergeCell ref="C80:D80"/>
    <mergeCell ref="A70:A78"/>
    <mergeCell ref="B70:Q70"/>
    <mergeCell ref="B71:Q71"/>
    <mergeCell ref="B72:Q72"/>
    <mergeCell ref="B73:Q73"/>
  </mergeCells>
  <printOptions horizontalCentered="1"/>
  <pageMargins left="0.3937007874015748" right="0.3937007874015748" top="0.3" bottom="0.36" header="0.1968503937007874" footer="0.16"/>
  <pageSetup fitToHeight="3" horizontalDpi="300" verticalDpi="300" orientation="landscape" paperSize="9" scale="83" r:id="rId1"/>
  <headerFooter alignWithMargins="0">
    <oddFooter>&amp;C &amp;P/&amp;N</oddFooter>
  </headerFooter>
  <rowBreaks count="1" manualBreakCount="1">
    <brk id="51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showGridLines="0" workbookViewId="0" topLeftCell="A1">
      <selection activeCell="D4" sqref="D4"/>
    </sheetView>
  </sheetViews>
  <sheetFormatPr defaultColWidth="9.00390625" defaultRowHeight="12.75"/>
  <cols>
    <col min="1" max="1" width="4.75390625" style="1" bestFit="1" customWidth="1"/>
    <col min="2" max="2" width="42.25390625" style="1" customWidth="1"/>
    <col min="3" max="3" width="13.75390625" style="1" customWidth="1"/>
    <col min="4" max="4" width="22.75390625" style="1" customWidth="1"/>
    <col min="5" max="16384" width="9.125" style="1" customWidth="1"/>
  </cols>
  <sheetData>
    <row r="1" ht="12.75">
      <c r="D1" t="s">
        <v>612</v>
      </c>
    </row>
    <row r="2" ht="12.75">
      <c r="D2" t="s">
        <v>710</v>
      </c>
    </row>
    <row r="3" ht="12.75">
      <c r="D3" t="s">
        <v>196</v>
      </c>
    </row>
    <row r="4" ht="12.75">
      <c r="D4" t="s">
        <v>709</v>
      </c>
    </row>
    <row r="6" spans="1:4" ht="15" customHeight="1">
      <c r="A6" s="716" t="s">
        <v>550</v>
      </c>
      <c r="B6" s="716"/>
      <c r="C6" s="716"/>
      <c r="D6" s="716"/>
    </row>
    <row r="7" ht="6.75" customHeight="1">
      <c r="A7" s="20"/>
    </row>
    <row r="8" ht="12.75">
      <c r="D8" s="11" t="s">
        <v>43</v>
      </c>
    </row>
    <row r="9" spans="1:4" ht="15" customHeight="1">
      <c r="A9" s="684" t="s">
        <v>63</v>
      </c>
      <c r="B9" s="684" t="s">
        <v>5</v>
      </c>
      <c r="C9" s="685" t="s">
        <v>64</v>
      </c>
      <c r="D9" s="685" t="s">
        <v>581</v>
      </c>
    </row>
    <row r="10" spans="1:4" ht="15" customHeight="1">
      <c r="A10" s="684"/>
      <c r="B10" s="684"/>
      <c r="C10" s="684"/>
      <c r="D10" s="685"/>
    </row>
    <row r="11" spans="1:4" ht="15.75" customHeight="1">
      <c r="A11" s="684"/>
      <c r="B11" s="684"/>
      <c r="C11" s="684"/>
      <c r="D11" s="685"/>
    </row>
    <row r="12" spans="1:4" s="61" customFormat="1" ht="6.75" customHeight="1">
      <c r="A12" s="60">
        <v>1</v>
      </c>
      <c r="B12" s="60">
        <v>2</v>
      </c>
      <c r="C12" s="60">
        <v>3</v>
      </c>
      <c r="D12" s="60">
        <v>4</v>
      </c>
    </row>
    <row r="13" spans="1:4" ht="18.75" customHeight="1">
      <c r="A13" s="714" t="s">
        <v>26</v>
      </c>
      <c r="B13" s="714"/>
      <c r="C13" s="412"/>
      <c r="D13" s="95">
        <f>SUM(D14:D21)</f>
        <v>5000000</v>
      </c>
    </row>
    <row r="14" spans="1:4" ht="18.75" customHeight="1">
      <c r="A14" s="26" t="s">
        <v>12</v>
      </c>
      <c r="B14" s="27" t="s">
        <v>20</v>
      </c>
      <c r="C14" s="26" t="s">
        <v>27</v>
      </c>
      <c r="D14" s="82">
        <v>5000000</v>
      </c>
    </row>
    <row r="15" spans="1:4" ht="18.75" customHeight="1">
      <c r="A15" s="28" t="s">
        <v>13</v>
      </c>
      <c r="B15" s="29" t="s">
        <v>21</v>
      </c>
      <c r="C15" s="28" t="s">
        <v>27</v>
      </c>
      <c r="D15" s="541">
        <v>0</v>
      </c>
    </row>
    <row r="16" spans="1:4" ht="38.25">
      <c r="A16" s="28" t="s">
        <v>14</v>
      </c>
      <c r="B16" s="30" t="s">
        <v>124</v>
      </c>
      <c r="C16" s="28" t="s">
        <v>52</v>
      </c>
      <c r="D16" s="541">
        <v>0</v>
      </c>
    </row>
    <row r="17" spans="1:4" ht="18.75" customHeight="1">
      <c r="A17" s="28" t="s">
        <v>1</v>
      </c>
      <c r="B17" s="29" t="s">
        <v>29</v>
      </c>
      <c r="C17" s="28" t="s">
        <v>53</v>
      </c>
      <c r="D17" s="541">
        <v>0</v>
      </c>
    </row>
    <row r="18" spans="1:4" ht="18.75" customHeight="1">
      <c r="A18" s="28" t="s">
        <v>19</v>
      </c>
      <c r="B18" s="29" t="s">
        <v>125</v>
      </c>
      <c r="C18" s="28" t="s">
        <v>139</v>
      </c>
      <c r="D18" s="541">
        <v>0</v>
      </c>
    </row>
    <row r="19" spans="1:4" ht="18.75" customHeight="1">
      <c r="A19" s="28" t="s">
        <v>22</v>
      </c>
      <c r="B19" s="29" t="s">
        <v>23</v>
      </c>
      <c r="C19" s="28" t="s">
        <v>28</v>
      </c>
      <c r="D19" s="541">
        <v>0</v>
      </c>
    </row>
    <row r="20" spans="1:4" ht="18.75" customHeight="1">
      <c r="A20" s="28" t="s">
        <v>24</v>
      </c>
      <c r="B20" s="29" t="s">
        <v>151</v>
      </c>
      <c r="C20" s="28" t="s">
        <v>68</v>
      </c>
      <c r="D20" s="541"/>
    </row>
    <row r="21" spans="1:4" ht="18.75" customHeight="1">
      <c r="A21" s="28" t="s">
        <v>31</v>
      </c>
      <c r="B21" s="32" t="s">
        <v>51</v>
      </c>
      <c r="C21" s="31" t="s">
        <v>30</v>
      </c>
      <c r="D21" s="542"/>
    </row>
    <row r="22" spans="1:4" ht="18.75" customHeight="1">
      <c r="A22" s="715" t="s">
        <v>126</v>
      </c>
      <c r="B22" s="715"/>
      <c r="C22" s="543"/>
      <c r="D22" s="424">
        <f>SUM(D23:D29)</f>
        <v>2850000</v>
      </c>
    </row>
    <row r="23" spans="1:4" ht="18.75" customHeight="1">
      <c r="A23" s="26" t="s">
        <v>12</v>
      </c>
      <c r="B23" s="27" t="s">
        <v>54</v>
      </c>
      <c r="C23" s="26" t="s">
        <v>33</v>
      </c>
      <c r="D23" s="82">
        <v>1600000</v>
      </c>
    </row>
    <row r="24" spans="1:4" ht="18.75" customHeight="1">
      <c r="A24" s="28" t="s">
        <v>13</v>
      </c>
      <c r="B24" s="29" t="s">
        <v>32</v>
      </c>
      <c r="C24" s="28" t="s">
        <v>33</v>
      </c>
      <c r="D24" s="83"/>
    </row>
    <row r="25" spans="1:4" ht="38.25">
      <c r="A25" s="28" t="s">
        <v>14</v>
      </c>
      <c r="B25" s="30" t="s">
        <v>57</v>
      </c>
      <c r="C25" s="28" t="s">
        <v>58</v>
      </c>
      <c r="D25" s="83">
        <v>0</v>
      </c>
    </row>
    <row r="26" spans="1:4" ht="18.75" customHeight="1">
      <c r="A26" s="28" t="s">
        <v>1</v>
      </c>
      <c r="B26" s="29" t="s">
        <v>55</v>
      </c>
      <c r="C26" s="28" t="s">
        <v>49</v>
      </c>
      <c r="D26" s="83">
        <v>0</v>
      </c>
    </row>
    <row r="27" spans="1:4" ht="18.75" customHeight="1">
      <c r="A27" s="28" t="s">
        <v>19</v>
      </c>
      <c r="B27" s="29" t="s">
        <v>56</v>
      </c>
      <c r="C27" s="28" t="s">
        <v>35</v>
      </c>
      <c r="D27" s="83">
        <v>0</v>
      </c>
    </row>
    <row r="28" spans="1:4" ht="18.75" customHeight="1">
      <c r="A28" s="28" t="s">
        <v>22</v>
      </c>
      <c r="B28" s="29" t="s">
        <v>152</v>
      </c>
      <c r="C28" s="28" t="s">
        <v>36</v>
      </c>
      <c r="D28" s="83">
        <f>625000*2</f>
        <v>1250000</v>
      </c>
    </row>
    <row r="29" spans="1:4" ht="18.75" customHeight="1">
      <c r="A29" s="31" t="s">
        <v>24</v>
      </c>
      <c r="B29" s="32" t="s">
        <v>37</v>
      </c>
      <c r="C29" s="31" t="s">
        <v>34</v>
      </c>
      <c r="D29" s="84" t="s">
        <v>25</v>
      </c>
    </row>
    <row r="30" spans="1:4" ht="7.5" customHeight="1">
      <c r="A30" s="4"/>
      <c r="B30" s="5"/>
      <c r="C30" s="5"/>
      <c r="D30" s="116" t="s">
        <v>25</v>
      </c>
    </row>
    <row r="31" spans="1:6" ht="12.75">
      <c r="A31" s="45"/>
      <c r="B31" s="44"/>
      <c r="C31" s="44"/>
      <c r="D31" s="126"/>
      <c r="E31" s="40"/>
      <c r="F31" s="40"/>
    </row>
  </sheetData>
  <mergeCells count="7">
    <mergeCell ref="A13:B13"/>
    <mergeCell ref="A22:B22"/>
    <mergeCell ref="A6:D6"/>
    <mergeCell ref="A9:A11"/>
    <mergeCell ref="C9:C11"/>
    <mergeCell ref="B9:B11"/>
    <mergeCell ref="D9:D11"/>
  </mergeCells>
  <printOptions horizontalCentered="1"/>
  <pageMargins left="0.55" right="0.3937007874015748" top="1.02" bottom="0.5905511811023623" header="0.5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showGridLines="0" defaultGridColor="0" colorId="8" workbookViewId="0" topLeftCell="A10">
      <selection activeCell="H4" sqref="H4"/>
    </sheetView>
  </sheetViews>
  <sheetFormatPr defaultColWidth="9.00390625" defaultRowHeight="12.75"/>
  <cols>
    <col min="1" max="1" width="9.875" style="1" customWidth="1"/>
    <col min="2" max="2" width="11.625" style="1" customWidth="1"/>
    <col min="3" max="3" width="14.25390625" style="1" customWidth="1"/>
    <col min="4" max="4" width="14.875" style="1" customWidth="1"/>
    <col min="5" max="5" width="13.625" style="1" customWidth="1"/>
    <col min="6" max="6" width="15.625" style="0" customWidth="1"/>
    <col min="7" max="7" width="15.75390625" style="0" customWidth="1"/>
    <col min="8" max="8" width="15.375" style="0" customWidth="1"/>
    <col min="9" max="9" width="24.375" style="0" customWidth="1"/>
  </cols>
  <sheetData>
    <row r="1" ht="12.75">
      <c r="H1" t="s">
        <v>613</v>
      </c>
    </row>
    <row r="2" ht="12.75">
      <c r="H2" t="s">
        <v>712</v>
      </c>
    </row>
    <row r="3" ht="12.75">
      <c r="H3" t="s">
        <v>196</v>
      </c>
    </row>
    <row r="4" ht="12.75">
      <c r="H4" t="s">
        <v>713</v>
      </c>
    </row>
    <row r="6" spans="1:9" ht="48.75" customHeight="1">
      <c r="A6" s="717" t="s">
        <v>593</v>
      </c>
      <c r="B6" s="717"/>
      <c r="C6" s="717"/>
      <c r="D6" s="717"/>
      <c r="E6" s="717"/>
      <c r="F6" s="717"/>
      <c r="G6" s="717"/>
      <c r="H6" s="717"/>
      <c r="I6" s="717"/>
    </row>
    <row r="7" ht="12.75">
      <c r="I7" s="10" t="s">
        <v>43</v>
      </c>
    </row>
    <row r="8" spans="1:9" s="3" customFormat="1" ht="20.25" customHeight="1">
      <c r="A8" s="684" t="s">
        <v>2</v>
      </c>
      <c r="B8" s="718" t="s">
        <v>3</v>
      </c>
      <c r="C8" s="685" t="s">
        <v>115</v>
      </c>
      <c r="D8" s="685" t="s">
        <v>140</v>
      </c>
      <c r="E8" s="685" t="s">
        <v>81</v>
      </c>
      <c r="F8" s="685"/>
      <c r="G8" s="685"/>
      <c r="H8" s="685"/>
      <c r="I8" s="685"/>
    </row>
    <row r="9" spans="1:9" s="3" customFormat="1" ht="20.25" customHeight="1">
      <c r="A9" s="684"/>
      <c r="B9" s="719"/>
      <c r="C9" s="684"/>
      <c r="D9" s="685"/>
      <c r="E9" s="685" t="s">
        <v>113</v>
      </c>
      <c r="F9" s="685" t="s">
        <v>6</v>
      </c>
      <c r="G9" s="685"/>
      <c r="H9" s="685"/>
      <c r="I9" s="685" t="s">
        <v>114</v>
      </c>
    </row>
    <row r="10" spans="1:9" s="3" customFormat="1" ht="65.25" customHeight="1">
      <c r="A10" s="684"/>
      <c r="B10" s="720"/>
      <c r="C10" s="684"/>
      <c r="D10" s="685"/>
      <c r="E10" s="685"/>
      <c r="F10" s="19" t="s">
        <v>111</v>
      </c>
      <c r="G10" s="19" t="s">
        <v>112</v>
      </c>
      <c r="H10" s="19" t="s">
        <v>141</v>
      </c>
      <c r="I10" s="685"/>
    </row>
    <row r="11" spans="1:9" ht="9" customHeight="1">
      <c r="A11" s="21">
        <v>1</v>
      </c>
      <c r="B11" s="21">
        <v>2</v>
      </c>
      <c r="C11" s="21">
        <v>4</v>
      </c>
      <c r="D11" s="21">
        <v>5</v>
      </c>
      <c r="E11" s="21">
        <v>6</v>
      </c>
      <c r="F11" s="21">
        <v>7</v>
      </c>
      <c r="G11" s="21">
        <v>8</v>
      </c>
      <c r="H11" s="21">
        <v>9</v>
      </c>
      <c r="I11" s="21">
        <v>10</v>
      </c>
    </row>
    <row r="12" spans="1:9" ht="19.5" customHeight="1">
      <c r="A12" s="90">
        <v>750</v>
      </c>
      <c r="B12" s="90">
        <v>75011</v>
      </c>
      <c r="C12" s="401">
        <v>120780</v>
      </c>
      <c r="D12" s="401">
        <v>120780</v>
      </c>
      <c r="E12" s="401">
        <v>120780</v>
      </c>
      <c r="F12" s="401">
        <v>115000</v>
      </c>
      <c r="G12" s="401">
        <v>5780</v>
      </c>
      <c r="H12" s="401"/>
      <c r="I12" s="402" t="s">
        <v>25</v>
      </c>
    </row>
    <row r="13" spans="1:9" ht="19.5" customHeight="1">
      <c r="A13" s="92">
        <v>751</v>
      </c>
      <c r="B13" s="92">
        <v>75101</v>
      </c>
      <c r="C13" s="403">
        <v>3596</v>
      </c>
      <c r="D13" s="403">
        <v>3596</v>
      </c>
      <c r="E13" s="403">
        <v>3596</v>
      </c>
      <c r="F13" s="403">
        <v>2990</v>
      </c>
      <c r="G13" s="403">
        <v>606</v>
      </c>
      <c r="H13" s="403"/>
      <c r="I13" s="404" t="s">
        <v>25</v>
      </c>
    </row>
    <row r="14" spans="1:9" ht="19.5" customHeight="1">
      <c r="A14" s="92">
        <v>752</v>
      </c>
      <c r="B14" s="92">
        <v>75212</v>
      </c>
      <c r="C14" s="403">
        <v>1000</v>
      </c>
      <c r="D14" s="403">
        <v>1000</v>
      </c>
      <c r="E14" s="403">
        <v>1000</v>
      </c>
      <c r="F14" s="403"/>
      <c r="G14" s="403"/>
      <c r="H14" s="403"/>
      <c r="I14" s="404" t="s">
        <v>25</v>
      </c>
    </row>
    <row r="15" spans="1:9" ht="19.5" customHeight="1">
      <c r="A15" s="92">
        <v>754</v>
      </c>
      <c r="B15" s="92">
        <v>75414</v>
      </c>
      <c r="C15" s="403">
        <v>1000</v>
      </c>
      <c r="D15" s="403">
        <v>1000</v>
      </c>
      <c r="E15" s="403">
        <v>1000</v>
      </c>
      <c r="F15" s="403"/>
      <c r="G15" s="403"/>
      <c r="H15" s="403"/>
      <c r="I15" s="404" t="s">
        <v>25</v>
      </c>
    </row>
    <row r="16" spans="1:9" ht="19.5" customHeight="1">
      <c r="A16" s="92">
        <v>852</v>
      </c>
      <c r="B16" s="92">
        <v>85212</v>
      </c>
      <c r="C16" s="405">
        <v>4736000</v>
      </c>
      <c r="D16" s="405">
        <v>4736000</v>
      </c>
      <c r="E16" s="405">
        <v>4736000</v>
      </c>
      <c r="F16" s="405">
        <v>90755</v>
      </c>
      <c r="G16" s="405">
        <v>14425</v>
      </c>
      <c r="H16" s="405">
        <v>4630820</v>
      </c>
      <c r="I16" s="406" t="s">
        <v>25</v>
      </c>
    </row>
    <row r="17" spans="1:9" ht="19.5" customHeight="1">
      <c r="A17" s="92"/>
      <c r="B17" s="92">
        <v>85213</v>
      </c>
      <c r="C17" s="405">
        <v>40000</v>
      </c>
      <c r="D17" s="405">
        <v>40000</v>
      </c>
      <c r="E17" s="405">
        <v>40000</v>
      </c>
      <c r="F17" s="405"/>
      <c r="G17" s="405"/>
      <c r="H17" s="405">
        <v>40000</v>
      </c>
      <c r="I17" s="406" t="s">
        <v>25</v>
      </c>
    </row>
    <row r="18" spans="1:9" ht="19.5" customHeight="1">
      <c r="A18" s="94"/>
      <c r="B18" s="94">
        <v>85214</v>
      </c>
      <c r="C18" s="407">
        <v>363000</v>
      </c>
      <c r="D18" s="407">
        <v>363000</v>
      </c>
      <c r="E18" s="407">
        <v>363000</v>
      </c>
      <c r="F18" s="407"/>
      <c r="G18" s="407"/>
      <c r="H18" s="407">
        <v>363000</v>
      </c>
      <c r="I18" s="408" t="s">
        <v>25</v>
      </c>
    </row>
    <row r="19" spans="1:9" ht="19.5" customHeight="1">
      <c r="A19" s="721" t="s">
        <v>605</v>
      </c>
      <c r="B19" s="722"/>
      <c r="C19" s="411">
        <f aca="true" t="shared" si="0" ref="C19:H19">SUM(C12:C18)</f>
        <v>5265376</v>
      </c>
      <c r="D19" s="411">
        <f t="shared" si="0"/>
        <v>5265376</v>
      </c>
      <c r="E19" s="411">
        <f t="shared" si="0"/>
        <v>5265376</v>
      </c>
      <c r="F19" s="411">
        <f t="shared" si="0"/>
        <v>208745</v>
      </c>
      <c r="G19" s="411">
        <f t="shared" si="0"/>
        <v>20811</v>
      </c>
      <c r="H19" s="411">
        <f t="shared" si="0"/>
        <v>5033820</v>
      </c>
      <c r="I19" s="409" t="s">
        <v>25</v>
      </c>
    </row>
    <row r="20" spans="1:9" ht="19.5" customHeight="1">
      <c r="A20" s="118"/>
      <c r="B20" s="119"/>
      <c r="C20" s="120"/>
      <c r="D20" s="120"/>
      <c r="E20" s="120"/>
      <c r="F20" s="120"/>
      <c r="G20" s="120"/>
      <c r="H20" s="120"/>
      <c r="I20" s="121"/>
    </row>
    <row r="21" spans="1:9" ht="12.75">
      <c r="A21" s="122"/>
      <c r="B21" s="124" t="s">
        <v>452</v>
      </c>
      <c r="C21" s="124"/>
      <c r="D21" s="124"/>
      <c r="E21" s="124"/>
      <c r="F21" s="125"/>
      <c r="G21" s="125"/>
      <c r="H21" s="125"/>
      <c r="I21" s="123"/>
    </row>
    <row r="22" spans="1:9" ht="12.75">
      <c r="A22" s="57">
        <v>750</v>
      </c>
      <c r="B22" s="57">
        <v>75011</v>
      </c>
      <c r="C22" s="409">
        <v>36000</v>
      </c>
      <c r="D22" s="22"/>
      <c r="E22" s="22"/>
      <c r="F22" s="117"/>
      <c r="G22" s="117"/>
      <c r="H22" s="117"/>
      <c r="I22" s="117"/>
    </row>
    <row r="23" spans="1:9" ht="12.75">
      <c r="A23" s="57">
        <v>852</v>
      </c>
      <c r="B23" s="57">
        <v>85212</v>
      </c>
      <c r="C23" s="409">
        <v>8000</v>
      </c>
      <c r="D23" s="22"/>
      <c r="E23" s="22"/>
      <c r="F23" s="117"/>
      <c r="G23" s="117"/>
      <c r="H23" s="117"/>
      <c r="I23" s="117"/>
    </row>
    <row r="24" spans="1:9" ht="15.75">
      <c r="A24" s="721" t="s">
        <v>605</v>
      </c>
      <c r="B24" s="722"/>
      <c r="C24" s="411">
        <f>SUM(C22:C23)</f>
        <v>44000</v>
      </c>
      <c r="D24" s="22" t="s">
        <v>425</v>
      </c>
      <c r="E24" s="22"/>
      <c r="F24" s="117"/>
      <c r="G24" s="117"/>
      <c r="H24" s="117"/>
      <c r="I24" s="117"/>
    </row>
  </sheetData>
  <mergeCells count="11">
    <mergeCell ref="A19:B19"/>
    <mergeCell ref="A24:B24"/>
    <mergeCell ref="F9:H9"/>
    <mergeCell ref="I9:I10"/>
    <mergeCell ref="E8:I8"/>
    <mergeCell ref="A6:I6"/>
    <mergeCell ref="E9:E10"/>
    <mergeCell ref="C8:C10"/>
    <mergeCell ref="D8:D10"/>
    <mergeCell ref="A8:A10"/>
    <mergeCell ref="B8:B10"/>
  </mergeCells>
  <printOptions horizontalCentered="1"/>
  <pageMargins left="0.5511811023622047" right="0.5511811023622047" top="0.8" bottom="0.3937007874015748" header="0.5118110236220472" footer="0.5118110236220472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showGridLines="0" workbookViewId="0" topLeftCell="A1">
      <selection activeCell="H4" sqref="H4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12.625" style="1" customWidth="1"/>
    <col min="4" max="4" width="13.125" style="1" customWidth="1"/>
    <col min="5" max="5" width="12.875" style="1" customWidth="1"/>
    <col min="6" max="6" width="15.875" style="1" customWidth="1"/>
    <col min="7" max="7" width="14.25390625" style="0" customWidth="1"/>
    <col min="8" max="8" width="12.875" style="0" customWidth="1"/>
    <col min="9" max="9" width="19.125" style="0" customWidth="1"/>
    <col min="75" max="16384" width="9.125" style="1" customWidth="1"/>
  </cols>
  <sheetData>
    <row r="1" spans="7:8" ht="12.75">
      <c r="G1" s="1"/>
      <c r="H1" t="s">
        <v>614</v>
      </c>
    </row>
    <row r="2" spans="7:8" ht="12.75">
      <c r="G2" s="1"/>
      <c r="H2" t="s">
        <v>708</v>
      </c>
    </row>
    <row r="3" spans="7:8" ht="12.75">
      <c r="G3" s="1"/>
      <c r="H3" t="s">
        <v>196</v>
      </c>
    </row>
    <row r="4" spans="7:8" ht="12.75">
      <c r="G4" s="1"/>
      <c r="H4" t="s">
        <v>709</v>
      </c>
    </row>
    <row r="6" spans="1:9" ht="45" customHeight="1">
      <c r="A6" s="717" t="s">
        <v>594</v>
      </c>
      <c r="B6" s="717"/>
      <c r="C6" s="717"/>
      <c r="D6" s="717"/>
      <c r="E6" s="717"/>
      <c r="F6" s="717"/>
      <c r="G6" s="717"/>
      <c r="H6" s="717"/>
      <c r="I6" s="717"/>
    </row>
    <row r="7" spans="1:5" ht="15.75">
      <c r="A7" s="13"/>
      <c r="B7" s="13"/>
      <c r="C7" s="13"/>
      <c r="D7" s="13"/>
      <c r="E7" s="13"/>
    </row>
    <row r="8" spans="1:9" ht="13.5" customHeight="1">
      <c r="A8" s="5"/>
      <c r="B8" s="5"/>
      <c r="C8" s="5"/>
      <c r="D8" s="5"/>
      <c r="E8" s="5"/>
      <c r="I8" s="54" t="s">
        <v>43</v>
      </c>
    </row>
    <row r="9" spans="1:9" ht="20.25" customHeight="1">
      <c r="A9" s="684" t="s">
        <v>2</v>
      </c>
      <c r="B9" s="718" t="s">
        <v>3</v>
      </c>
      <c r="C9" s="685" t="s">
        <v>115</v>
      </c>
      <c r="D9" s="685" t="s">
        <v>140</v>
      </c>
      <c r="E9" s="685" t="s">
        <v>81</v>
      </c>
      <c r="F9" s="685"/>
      <c r="G9" s="685"/>
      <c r="H9" s="685"/>
      <c r="I9" s="685"/>
    </row>
    <row r="10" spans="1:9" ht="18" customHeight="1">
      <c r="A10" s="684"/>
      <c r="B10" s="719"/>
      <c r="C10" s="684"/>
      <c r="D10" s="685"/>
      <c r="E10" s="685" t="s">
        <v>113</v>
      </c>
      <c r="F10" s="685" t="s">
        <v>6</v>
      </c>
      <c r="G10" s="685"/>
      <c r="H10" s="685"/>
      <c r="I10" s="685" t="s">
        <v>114</v>
      </c>
    </row>
    <row r="11" spans="1:9" ht="69" customHeight="1">
      <c r="A11" s="684"/>
      <c r="B11" s="720"/>
      <c r="C11" s="684"/>
      <c r="D11" s="685"/>
      <c r="E11" s="685"/>
      <c r="F11" s="19" t="s">
        <v>111</v>
      </c>
      <c r="G11" s="19" t="s">
        <v>112</v>
      </c>
      <c r="H11" s="19" t="s">
        <v>141</v>
      </c>
      <c r="I11" s="685"/>
    </row>
    <row r="12" spans="1:9" ht="17.25" customHeight="1">
      <c r="A12" s="21">
        <v>1</v>
      </c>
      <c r="B12" s="21">
        <v>2</v>
      </c>
      <c r="C12" s="21">
        <v>4</v>
      </c>
      <c r="D12" s="21">
        <v>5</v>
      </c>
      <c r="E12" s="21">
        <v>6</v>
      </c>
      <c r="F12" s="21">
        <v>7</v>
      </c>
      <c r="G12" s="21">
        <v>8</v>
      </c>
      <c r="H12" s="21">
        <v>9</v>
      </c>
      <c r="I12" s="21">
        <v>10</v>
      </c>
    </row>
    <row r="13" spans="1:9" ht="19.5" customHeight="1">
      <c r="A13" s="90">
        <v>710</v>
      </c>
      <c r="B13" s="90">
        <v>71035</v>
      </c>
      <c r="C13" s="91">
        <v>2000</v>
      </c>
      <c r="D13" s="91">
        <v>2000</v>
      </c>
      <c r="E13" s="91">
        <v>2000</v>
      </c>
      <c r="F13" s="91">
        <v>0</v>
      </c>
      <c r="G13" s="91">
        <v>0</v>
      </c>
      <c r="H13" s="91">
        <v>0</v>
      </c>
      <c r="I13" s="91">
        <v>0</v>
      </c>
    </row>
    <row r="14" spans="1:9" ht="19.5" customHeight="1">
      <c r="A14" s="49"/>
      <c r="B14" s="49"/>
      <c r="C14" s="49"/>
      <c r="D14" s="49"/>
      <c r="E14" s="49"/>
      <c r="F14" s="49"/>
      <c r="G14" s="49"/>
      <c r="H14" s="49"/>
      <c r="I14" s="49"/>
    </row>
    <row r="15" spans="1:9" ht="36.75" customHeight="1">
      <c r="A15" s="721" t="s">
        <v>605</v>
      </c>
      <c r="B15" s="722"/>
      <c r="C15" s="95">
        <v>2000</v>
      </c>
      <c r="D15" s="95">
        <v>2000</v>
      </c>
      <c r="E15" s="95">
        <v>2000</v>
      </c>
      <c r="F15" s="95">
        <v>0</v>
      </c>
      <c r="G15" s="95">
        <v>0</v>
      </c>
      <c r="H15" s="95">
        <v>0</v>
      </c>
      <c r="I15" s="95">
        <v>0</v>
      </c>
    </row>
    <row r="16" spans="4:5" ht="12.75">
      <c r="D16" s="100" t="s">
        <v>25</v>
      </c>
      <c r="E16" s="100" t="s">
        <v>25</v>
      </c>
    </row>
    <row r="17" spans="1:6" ht="12.75">
      <c r="A17" s="64" t="s">
        <v>25</v>
      </c>
      <c r="B17" s="1" t="s">
        <v>25</v>
      </c>
      <c r="C17" s="1" t="s">
        <v>25</v>
      </c>
      <c r="D17" s="1" t="s">
        <v>25</v>
      </c>
      <c r="F17"/>
    </row>
    <row r="18" spans="4:5" ht="12.75">
      <c r="D18" s="100" t="s">
        <v>25</v>
      </c>
      <c r="E18" s="100" t="s">
        <v>25</v>
      </c>
    </row>
  </sheetData>
  <mergeCells count="10">
    <mergeCell ref="A15:B15"/>
    <mergeCell ref="C9:C11"/>
    <mergeCell ref="A6:I6"/>
    <mergeCell ref="D9:D11"/>
    <mergeCell ref="E9:I9"/>
    <mergeCell ref="E10:E11"/>
    <mergeCell ref="F10:H10"/>
    <mergeCell ref="I10:I11"/>
    <mergeCell ref="A9:A11"/>
    <mergeCell ref="B9:B11"/>
  </mergeCells>
  <printOptions horizontalCentered="1"/>
  <pageMargins left="0.5905511811023623" right="0.5905511811023623" top="0.73" bottom="0.3937007874015748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8"/>
  <sheetViews>
    <sheetView showGridLines="0" view="pageBreakPreview" zoomScaleSheetLayoutView="100" workbookViewId="0" topLeftCell="A8">
      <selection activeCell="I4" sqref="I4"/>
    </sheetView>
  </sheetViews>
  <sheetFormatPr defaultColWidth="9.00390625" defaultRowHeight="12.75"/>
  <cols>
    <col min="1" max="1" width="4.75390625" style="0" customWidth="1"/>
    <col min="2" max="2" width="28.75390625" style="0" customWidth="1"/>
    <col min="3" max="3" width="15.625" style="0" customWidth="1"/>
    <col min="4" max="4" width="12.125" style="0" customWidth="1"/>
    <col min="5" max="5" width="10.875" style="0" customWidth="1"/>
    <col min="6" max="7" width="11.125" style="0" customWidth="1"/>
    <col min="8" max="8" width="11.75390625" style="0" customWidth="1"/>
    <col min="9" max="9" width="13.625" style="0" customWidth="1"/>
    <col min="10" max="10" width="18.375" style="0" hidden="1" customWidth="1"/>
    <col min="11" max="11" width="18.875" style="0" customWidth="1"/>
  </cols>
  <sheetData>
    <row r="1" ht="12.75">
      <c r="I1" t="s">
        <v>615</v>
      </c>
    </row>
    <row r="2" ht="12.75">
      <c r="I2" t="s">
        <v>714</v>
      </c>
    </row>
    <row r="3" ht="12.75">
      <c r="I3" t="s">
        <v>196</v>
      </c>
    </row>
    <row r="4" ht="12.75">
      <c r="I4" t="s">
        <v>709</v>
      </c>
    </row>
    <row r="5" spans="1:10" ht="16.5">
      <c r="A5" s="726" t="s">
        <v>62</v>
      </c>
      <c r="B5" s="726"/>
      <c r="C5" s="726"/>
      <c r="D5" s="726"/>
      <c r="E5" s="726"/>
      <c r="F5" s="726"/>
      <c r="G5" s="726"/>
      <c r="H5" s="726"/>
      <c r="I5" s="726"/>
      <c r="J5" s="726"/>
    </row>
    <row r="6" spans="1:10" ht="16.5">
      <c r="A6" s="726" t="s">
        <v>601</v>
      </c>
      <c r="B6" s="726"/>
      <c r="C6" s="726"/>
      <c r="D6" s="726"/>
      <c r="E6" s="726"/>
      <c r="F6" s="726"/>
      <c r="G6" s="726"/>
      <c r="H6" s="726"/>
      <c r="I6" s="726"/>
      <c r="J6" s="726"/>
    </row>
    <row r="7" spans="1:10" ht="6" customHeight="1">
      <c r="A7" s="6"/>
      <c r="B7" s="6"/>
      <c r="C7" s="6"/>
      <c r="D7" s="6"/>
      <c r="E7" s="6"/>
      <c r="F7" s="6"/>
      <c r="G7" s="6"/>
      <c r="H7" s="6"/>
      <c r="I7" s="6"/>
      <c r="J7" s="6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K8" s="10" t="s">
        <v>43</v>
      </c>
    </row>
    <row r="9" spans="1:11" ht="15" customHeight="1">
      <c r="A9" s="684" t="s">
        <v>63</v>
      </c>
      <c r="B9" s="684" t="s">
        <v>0</v>
      </c>
      <c r="C9" s="685" t="s">
        <v>606</v>
      </c>
      <c r="D9" s="727" t="s">
        <v>73</v>
      </c>
      <c r="E9" s="728"/>
      <c r="F9" s="728"/>
      <c r="G9" s="729"/>
      <c r="H9" s="685" t="s">
        <v>8</v>
      </c>
      <c r="I9" s="685"/>
      <c r="J9" s="685" t="s">
        <v>144</v>
      </c>
      <c r="K9" s="685" t="s">
        <v>150</v>
      </c>
    </row>
    <row r="10" spans="1:11" ht="15" customHeight="1">
      <c r="A10" s="684"/>
      <c r="B10" s="684"/>
      <c r="C10" s="685"/>
      <c r="D10" s="685" t="s">
        <v>7</v>
      </c>
      <c r="E10" s="723" t="s">
        <v>6</v>
      </c>
      <c r="F10" s="724"/>
      <c r="G10" s="725"/>
      <c r="H10" s="685" t="s">
        <v>7</v>
      </c>
      <c r="I10" s="685" t="s">
        <v>66</v>
      </c>
      <c r="J10" s="685"/>
      <c r="K10" s="685"/>
    </row>
    <row r="11" spans="1:11" ht="18" customHeight="1">
      <c r="A11" s="684"/>
      <c r="B11" s="684"/>
      <c r="C11" s="685"/>
      <c r="D11" s="685"/>
      <c r="E11" s="730" t="s">
        <v>145</v>
      </c>
      <c r="F11" s="723" t="s">
        <v>6</v>
      </c>
      <c r="G11" s="725"/>
      <c r="H11" s="685"/>
      <c r="I11" s="685"/>
      <c r="J11" s="685"/>
      <c r="K11" s="685"/>
    </row>
    <row r="12" spans="1:11" ht="25.5">
      <c r="A12" s="684"/>
      <c r="B12" s="684"/>
      <c r="C12" s="685"/>
      <c r="D12" s="685"/>
      <c r="E12" s="731"/>
      <c r="F12" s="68" t="s">
        <v>607</v>
      </c>
      <c r="G12" s="68" t="s">
        <v>143</v>
      </c>
      <c r="H12" s="685"/>
      <c r="I12" s="685"/>
      <c r="J12" s="685"/>
      <c r="K12" s="685"/>
    </row>
    <row r="13" spans="1:11" ht="12" customHeight="1">
      <c r="A13" s="21">
        <v>1</v>
      </c>
      <c r="B13" s="21">
        <v>2</v>
      </c>
      <c r="C13" s="21">
        <v>3</v>
      </c>
      <c r="D13" s="21">
        <v>4</v>
      </c>
      <c r="E13" s="21">
        <v>5</v>
      </c>
      <c r="F13" s="21">
        <v>6</v>
      </c>
      <c r="G13" s="21">
        <v>7</v>
      </c>
      <c r="H13" s="21">
        <v>8</v>
      </c>
      <c r="I13" s="21">
        <v>9</v>
      </c>
      <c r="J13" s="21">
        <v>10</v>
      </c>
      <c r="K13" s="21">
        <v>11</v>
      </c>
    </row>
    <row r="14" spans="1:11" ht="19.5" customHeight="1">
      <c r="A14" s="412" t="s">
        <v>10</v>
      </c>
      <c r="B14" s="410" t="s">
        <v>11</v>
      </c>
      <c r="C14" s="95"/>
      <c r="D14" s="411">
        <v>926600</v>
      </c>
      <c r="E14" s="411">
        <v>319400</v>
      </c>
      <c r="F14" s="411">
        <v>319400</v>
      </c>
      <c r="G14" s="411">
        <v>0</v>
      </c>
      <c r="H14" s="411">
        <v>926600</v>
      </c>
      <c r="I14" s="411">
        <v>0</v>
      </c>
      <c r="J14" s="411">
        <v>0</v>
      </c>
      <c r="K14" s="421" t="s">
        <v>50</v>
      </c>
    </row>
    <row r="15" spans="1:11" ht="15" customHeight="1">
      <c r="A15" s="110"/>
      <c r="B15" s="112" t="s">
        <v>81</v>
      </c>
      <c r="C15" s="113"/>
      <c r="D15" s="413"/>
      <c r="E15" s="413"/>
      <c r="F15" s="413"/>
      <c r="G15" s="413"/>
      <c r="H15" s="413"/>
      <c r="I15" s="413"/>
      <c r="J15" s="413"/>
      <c r="K15" s="414"/>
    </row>
    <row r="16" spans="1:11" ht="24.75" customHeight="1">
      <c r="A16" s="34">
        <v>1</v>
      </c>
      <c r="B16" s="36" t="s">
        <v>438</v>
      </c>
      <c r="C16" s="89">
        <v>0</v>
      </c>
      <c r="D16" s="405">
        <v>926600</v>
      </c>
      <c r="E16" s="405">
        <v>319400</v>
      </c>
      <c r="F16" s="405">
        <v>319400</v>
      </c>
      <c r="G16" s="405">
        <v>0</v>
      </c>
      <c r="H16" s="405">
        <v>926600</v>
      </c>
      <c r="I16" s="405">
        <v>0</v>
      </c>
      <c r="J16" s="405">
        <v>0</v>
      </c>
      <c r="K16" s="415" t="s">
        <v>50</v>
      </c>
    </row>
    <row r="17" spans="1:11" ht="19.5" customHeight="1">
      <c r="A17" s="412" t="s">
        <v>16</v>
      </c>
      <c r="B17" s="410" t="s">
        <v>15</v>
      </c>
      <c r="C17" s="95"/>
      <c r="D17" s="411">
        <v>690228</v>
      </c>
      <c r="E17" s="411">
        <v>127200</v>
      </c>
      <c r="F17" s="421">
        <v>127200</v>
      </c>
      <c r="G17" s="411"/>
      <c r="H17" s="411">
        <v>690228</v>
      </c>
      <c r="I17" s="411"/>
      <c r="J17" s="411"/>
      <c r="K17" s="421" t="s">
        <v>50</v>
      </c>
    </row>
    <row r="18" spans="1:11" ht="17.25" customHeight="1">
      <c r="A18" s="110"/>
      <c r="B18" s="112" t="s">
        <v>81</v>
      </c>
      <c r="C18" s="111"/>
      <c r="D18" s="416"/>
      <c r="E18" s="416"/>
      <c r="F18" s="417"/>
      <c r="G18" s="416"/>
      <c r="H18" s="416"/>
      <c r="I18" s="416"/>
      <c r="J18" s="416"/>
      <c r="K18" s="417"/>
    </row>
    <row r="19" spans="1:11" ht="32.25" customHeight="1">
      <c r="A19" s="34">
        <v>1</v>
      </c>
      <c r="B19" s="109" t="s">
        <v>439</v>
      </c>
      <c r="C19" s="89">
        <v>0</v>
      </c>
      <c r="D19" s="406">
        <v>295028</v>
      </c>
      <c r="E19" s="405">
        <v>0</v>
      </c>
      <c r="F19" s="415" t="s">
        <v>50</v>
      </c>
      <c r="G19" s="405">
        <v>0</v>
      </c>
      <c r="H19" s="406">
        <v>295028</v>
      </c>
      <c r="I19" s="405">
        <v>0</v>
      </c>
      <c r="J19" s="405">
        <v>0</v>
      </c>
      <c r="K19" s="415" t="s">
        <v>50</v>
      </c>
    </row>
    <row r="20" spans="1:11" ht="19.5" customHeight="1">
      <c r="A20" s="114">
        <v>2</v>
      </c>
      <c r="B20" s="115" t="s">
        <v>440</v>
      </c>
      <c r="C20" s="93"/>
      <c r="D20" s="407">
        <v>395200</v>
      </c>
      <c r="E20" s="407">
        <v>127200</v>
      </c>
      <c r="F20" s="418">
        <v>127200</v>
      </c>
      <c r="G20" s="407">
        <v>0</v>
      </c>
      <c r="H20" s="407">
        <v>395200</v>
      </c>
      <c r="I20" s="407">
        <v>0</v>
      </c>
      <c r="J20" s="407">
        <v>0</v>
      </c>
      <c r="K20" s="418" t="s">
        <v>50</v>
      </c>
    </row>
    <row r="21" spans="1:11" ht="27.75" customHeight="1">
      <c r="A21" s="412" t="s">
        <v>17</v>
      </c>
      <c r="B21" s="422" t="s">
        <v>142</v>
      </c>
      <c r="C21" s="95"/>
      <c r="D21" s="411">
        <v>56970</v>
      </c>
      <c r="E21" s="421">
        <v>0</v>
      </c>
      <c r="F21" s="421" t="s">
        <v>50</v>
      </c>
      <c r="G21" s="421" t="s">
        <v>50</v>
      </c>
      <c r="H21" s="411">
        <v>56970</v>
      </c>
      <c r="I21" s="421" t="s">
        <v>50</v>
      </c>
      <c r="J21" s="411"/>
      <c r="K21" s="411"/>
    </row>
    <row r="22" spans="1:11" ht="13.5" customHeight="1">
      <c r="A22" s="113"/>
      <c r="B22" s="112" t="s">
        <v>81</v>
      </c>
      <c r="C22" s="111"/>
      <c r="D22" s="419" t="s">
        <v>25</v>
      </c>
      <c r="E22" s="420" t="s">
        <v>25</v>
      </c>
      <c r="F22" s="417"/>
      <c r="G22" s="417">
        <f>SUM(G19:G21)</f>
        <v>0</v>
      </c>
      <c r="H22" s="419" t="s">
        <v>25</v>
      </c>
      <c r="I22" s="417"/>
      <c r="J22" s="416"/>
      <c r="K22" s="416"/>
    </row>
    <row r="23" spans="1:11" ht="12.75">
      <c r="A23" s="24">
        <v>1</v>
      </c>
      <c r="B23" s="35" t="s">
        <v>441</v>
      </c>
      <c r="C23" s="89">
        <v>0</v>
      </c>
      <c r="D23" s="405">
        <v>3200</v>
      </c>
      <c r="E23" s="415">
        <v>0</v>
      </c>
      <c r="F23" s="415">
        <v>0</v>
      </c>
      <c r="G23" s="415">
        <v>0</v>
      </c>
      <c r="H23" s="405">
        <v>3200</v>
      </c>
      <c r="I23" s="415">
        <v>0</v>
      </c>
      <c r="J23" s="405">
        <v>0</v>
      </c>
      <c r="K23" s="405"/>
    </row>
    <row r="24" spans="1:11" ht="12.75">
      <c r="A24" s="24">
        <v>2</v>
      </c>
      <c r="B24" s="35" t="s">
        <v>442</v>
      </c>
      <c r="C24" s="89">
        <v>0</v>
      </c>
      <c r="D24" s="405">
        <v>5300</v>
      </c>
      <c r="E24" s="415">
        <v>0</v>
      </c>
      <c r="F24" s="415">
        <v>0</v>
      </c>
      <c r="G24" s="415">
        <v>0</v>
      </c>
      <c r="H24" s="405">
        <v>5300</v>
      </c>
      <c r="I24" s="415">
        <v>0</v>
      </c>
      <c r="J24" s="405">
        <v>0</v>
      </c>
      <c r="K24" s="405"/>
    </row>
    <row r="25" spans="1:11" ht="12.75">
      <c r="A25" s="24">
        <v>3</v>
      </c>
      <c r="B25" s="35" t="s">
        <v>443</v>
      </c>
      <c r="C25" s="89">
        <v>0</v>
      </c>
      <c r="D25" s="405">
        <v>6500</v>
      </c>
      <c r="E25" s="415">
        <v>0</v>
      </c>
      <c r="F25" s="415">
        <v>0</v>
      </c>
      <c r="G25" s="415">
        <v>0</v>
      </c>
      <c r="H25" s="405">
        <v>6500</v>
      </c>
      <c r="I25" s="415">
        <v>0</v>
      </c>
      <c r="J25" s="405">
        <v>0</v>
      </c>
      <c r="K25" s="405"/>
    </row>
    <row r="26" spans="1:11" ht="12.75">
      <c r="A26" s="24">
        <v>4</v>
      </c>
      <c r="B26" s="35" t="s">
        <v>444</v>
      </c>
      <c r="C26" s="89">
        <v>0</v>
      </c>
      <c r="D26" s="405">
        <v>19170</v>
      </c>
      <c r="E26" s="415">
        <v>0</v>
      </c>
      <c r="F26" s="415">
        <v>0</v>
      </c>
      <c r="G26" s="415">
        <v>0</v>
      </c>
      <c r="H26" s="405">
        <v>19170</v>
      </c>
      <c r="I26" s="415">
        <v>0</v>
      </c>
      <c r="J26" s="405">
        <v>0</v>
      </c>
      <c r="K26" s="405"/>
    </row>
    <row r="27" spans="1:11" ht="12.75">
      <c r="A27" s="24">
        <v>5</v>
      </c>
      <c r="B27" s="35" t="s">
        <v>445</v>
      </c>
      <c r="C27" s="89">
        <v>0</v>
      </c>
      <c r="D27" s="405">
        <v>12500</v>
      </c>
      <c r="E27" s="415">
        <v>0</v>
      </c>
      <c r="F27" s="415">
        <v>0</v>
      </c>
      <c r="G27" s="415">
        <v>0</v>
      </c>
      <c r="H27" s="405">
        <v>12500</v>
      </c>
      <c r="I27" s="415">
        <v>0</v>
      </c>
      <c r="J27" s="405">
        <v>0</v>
      </c>
      <c r="K27" s="405"/>
    </row>
    <row r="28" spans="1:11" ht="12.75">
      <c r="A28" s="24">
        <v>6</v>
      </c>
      <c r="B28" s="35" t="s">
        <v>309</v>
      </c>
      <c r="C28" s="89">
        <v>0</v>
      </c>
      <c r="D28" s="405">
        <v>3300</v>
      </c>
      <c r="E28" s="415">
        <v>0</v>
      </c>
      <c r="F28" s="415">
        <v>0</v>
      </c>
      <c r="G28" s="415">
        <v>0</v>
      </c>
      <c r="H28" s="405">
        <v>3300</v>
      </c>
      <c r="I28" s="415">
        <v>0</v>
      </c>
      <c r="J28" s="405">
        <v>0</v>
      </c>
      <c r="K28" s="405"/>
    </row>
    <row r="29" spans="1:11" ht="12.75">
      <c r="A29" s="24">
        <v>7</v>
      </c>
      <c r="B29" s="35" t="s">
        <v>446</v>
      </c>
      <c r="C29" s="89">
        <v>0</v>
      </c>
      <c r="D29" s="405">
        <v>5600</v>
      </c>
      <c r="E29" s="415">
        <v>0</v>
      </c>
      <c r="F29" s="415">
        <v>0</v>
      </c>
      <c r="G29" s="415">
        <v>0</v>
      </c>
      <c r="H29" s="405">
        <v>5600</v>
      </c>
      <c r="I29" s="415">
        <v>0</v>
      </c>
      <c r="J29" s="405">
        <v>0</v>
      </c>
      <c r="K29" s="405"/>
    </row>
    <row r="30" spans="1:11" ht="12.75">
      <c r="A30" s="24">
        <v>8</v>
      </c>
      <c r="B30" s="35" t="s">
        <v>447</v>
      </c>
      <c r="C30" s="89">
        <v>0</v>
      </c>
      <c r="D30" s="405">
        <v>1400</v>
      </c>
      <c r="E30" s="415">
        <v>0</v>
      </c>
      <c r="F30" s="415">
        <v>0</v>
      </c>
      <c r="G30" s="415">
        <v>0</v>
      </c>
      <c r="H30" s="405">
        <v>1400</v>
      </c>
      <c r="I30" s="415">
        <v>0</v>
      </c>
      <c r="J30" s="405">
        <v>0</v>
      </c>
      <c r="K30" s="405"/>
    </row>
    <row r="31" spans="1:11" s="56" customFormat="1" ht="19.5" customHeight="1">
      <c r="A31" s="714" t="s">
        <v>127</v>
      </c>
      <c r="B31" s="714"/>
      <c r="C31" s="95"/>
      <c r="D31" s="411">
        <f>+D14+D17+D21</f>
        <v>1673798</v>
      </c>
      <c r="E31" s="411">
        <v>446600</v>
      </c>
      <c r="F31" s="411">
        <v>446600</v>
      </c>
      <c r="G31" s="411">
        <v>0</v>
      </c>
      <c r="H31" s="411">
        <v>1673798</v>
      </c>
      <c r="I31" s="411">
        <v>0</v>
      </c>
      <c r="J31" s="411">
        <v>0</v>
      </c>
      <c r="K31" s="411">
        <v>0</v>
      </c>
    </row>
    <row r="32" ht="4.5" customHeight="1"/>
    <row r="33" ht="12.75" customHeight="1">
      <c r="A33" s="69" t="s">
        <v>146</v>
      </c>
    </row>
    <row r="34" ht="14.25">
      <c r="A34" s="69" t="s">
        <v>148</v>
      </c>
    </row>
    <row r="35" ht="12.75">
      <c r="A35" s="69" t="s">
        <v>149</v>
      </c>
    </row>
    <row r="36" ht="12.75">
      <c r="A36" s="69" t="s">
        <v>147</v>
      </c>
    </row>
    <row r="38" ht="12.75">
      <c r="D38" s="263">
        <f>+D31-D21</f>
        <v>1616828</v>
      </c>
    </row>
  </sheetData>
  <mergeCells count="16">
    <mergeCell ref="A31:B31"/>
    <mergeCell ref="H9:I9"/>
    <mergeCell ref="A5:J5"/>
    <mergeCell ref="A6:J6"/>
    <mergeCell ref="A9:A12"/>
    <mergeCell ref="B9:B12"/>
    <mergeCell ref="C9:C12"/>
    <mergeCell ref="D10:D12"/>
    <mergeCell ref="D9:G9"/>
    <mergeCell ref="E11:E12"/>
    <mergeCell ref="E10:G10"/>
    <mergeCell ref="F11:G11"/>
    <mergeCell ref="K9:K12"/>
    <mergeCell ref="H10:H12"/>
    <mergeCell ref="I10:I12"/>
    <mergeCell ref="J9:J12"/>
  </mergeCells>
  <printOptions horizontalCentered="1"/>
  <pageMargins left="0.5118110236220472" right="0.5118110236220472" top="0.36" bottom="0.29" header="0.2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JoannaK</cp:lastModifiedBy>
  <cp:lastPrinted>2007-12-29T11:19:29Z</cp:lastPrinted>
  <dcterms:created xsi:type="dcterms:W3CDTF">1998-12-09T13:02:10Z</dcterms:created>
  <dcterms:modified xsi:type="dcterms:W3CDTF">2008-01-07T09:58:18Z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