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035" activeTab="0"/>
  </bookViews>
  <sheets>
    <sheet name="Prognoza" sheetId="1" r:id="rId1"/>
    <sheet name="wykaz przedsięwzięć" sheetId="2" r:id="rId2"/>
    <sheet name="wykaz zadań" sheetId="3" r:id="rId3"/>
  </sheets>
  <definedNames>
    <definedName name="_xlnm.Print_Area" localSheetId="0">'Prognoza'!$A$1:$S$108</definedName>
    <definedName name="_xlnm.Print_Area" localSheetId="1">'wykaz przedsięwzięć'!$A$1:$O$80</definedName>
    <definedName name="_xlnm.Print_Area" localSheetId="2">'wykaz zadań'!$A$2:$L$28</definedName>
    <definedName name="_xlnm.Print_Titles" localSheetId="0">'Prognoza'!$6:$7</definedName>
    <definedName name="_xlnm.Print_Titles" localSheetId="1">'wykaz przedsięwzięć'!$6:$9</definedName>
  </definedNames>
  <calcPr fullCalcOnLoad="1"/>
</workbook>
</file>

<file path=xl/sharedStrings.xml><?xml version="1.0" encoding="utf-8"?>
<sst xmlns="http://schemas.openxmlformats.org/spreadsheetml/2006/main" count="364" uniqueCount="227">
  <si>
    <t>w złotych</t>
  </si>
  <si>
    <t>Lp.</t>
  </si>
  <si>
    <t>Wyszczególnienie</t>
  </si>
  <si>
    <t>Kwota długu na dzień 31.12.2007</t>
  </si>
  <si>
    <t>Prognoza</t>
  </si>
  <si>
    <t>pożyczek</t>
  </si>
  <si>
    <t>obligacji</t>
  </si>
  <si>
    <t>bgk</t>
  </si>
  <si>
    <t>boś</t>
  </si>
  <si>
    <t>boś -5mln</t>
  </si>
  <si>
    <t>Kredyt planowany 2010</t>
  </si>
  <si>
    <t>wfos etap 4-5</t>
  </si>
  <si>
    <t>wfos</t>
  </si>
  <si>
    <t xml:space="preserve">odsetki od emisji oblig. komunalnych </t>
  </si>
  <si>
    <t>odsetki strefa</t>
  </si>
  <si>
    <t>kredyt krótkoterminowy</t>
  </si>
  <si>
    <t>Zaciągnięte zobowiązania z tytułu:</t>
  </si>
  <si>
    <t>majątkowe w tym:</t>
  </si>
  <si>
    <t>- ze sprzedaży majątku</t>
  </si>
  <si>
    <t>Kredyt planowany 2011</t>
  </si>
  <si>
    <t>Kredyt planowany 2012</t>
  </si>
  <si>
    <t>Kredyt planowany 2013</t>
  </si>
  <si>
    <t>Wykonanie</t>
  </si>
  <si>
    <t>- własne</t>
  </si>
  <si>
    <t>- subwencje</t>
  </si>
  <si>
    <t>dochody</t>
  </si>
  <si>
    <t>dochody saldo</t>
  </si>
  <si>
    <t xml:space="preserve">wydatki </t>
  </si>
  <si>
    <t>wydatki saldo</t>
  </si>
  <si>
    <t>X</t>
  </si>
  <si>
    <t>- pozostałe dotacje</t>
  </si>
  <si>
    <t>- dotacje i środki na realizację przedsięwzięć WPF</t>
  </si>
  <si>
    <t>w tym zaciągnięte na wyprzedzające finansowanie ze środków UE</t>
  </si>
  <si>
    <t>Dochody ogółem, z tego:</t>
  </si>
  <si>
    <t>a</t>
  </si>
  <si>
    <t>b</t>
  </si>
  <si>
    <t>Wydatki bieżące,  w tym:</t>
  </si>
  <si>
    <t>Inne przychody niezwiązane z zaciągnięciem długu</t>
  </si>
  <si>
    <t>Środki do dyspozycji (3+4+5)</t>
  </si>
  <si>
    <t>Spłata i obsługa długu, z tego:</t>
  </si>
  <si>
    <t>wydatki bieżące na obsługę długu (odsetki)</t>
  </si>
  <si>
    <t xml:space="preserve">- spłata kredytów i pożyczek </t>
  </si>
  <si>
    <t>- wykup papierów wartościowych</t>
  </si>
  <si>
    <t>- spłata udzielonych poręczeń</t>
  </si>
  <si>
    <t>Inne rozchody (bez spłaty długu np. udzielane pożyczki)</t>
  </si>
  <si>
    <t>Środki do dyspozycji na wydatki majątkowe (6-7-8)</t>
  </si>
  <si>
    <t>pozostałe wydatki majątkowe</t>
  </si>
  <si>
    <t>Wydatki majątkowe, w tym:</t>
  </si>
  <si>
    <t>11.</t>
  </si>
  <si>
    <t>kredyty</t>
  </si>
  <si>
    <t>kredytów w tym:</t>
  </si>
  <si>
    <t>Kwota zobowiązań związku współtworzonego przez jst przypadających do spłaty w danym roku budżetowym podlegające doliczeniu zgodnie z art. 244 ufp</t>
  </si>
  <si>
    <t>Maksymalny dopuszczalny wskaźnik spłaty z art. 243 ufp</t>
  </si>
  <si>
    <t>18.</t>
  </si>
  <si>
    <t>Zadłużenie/dochody ogółem (13 –13a):1) - max 60% z art. 170 sufp</t>
  </si>
  <si>
    <t>Wydatki bieżące razem (2 + 7b)</t>
  </si>
  <si>
    <t>1a</t>
  </si>
  <si>
    <t>1b</t>
  </si>
  <si>
    <t>1c</t>
  </si>
  <si>
    <t xml:space="preserve"> - wynagrodzenia i składniki od nich naliczane</t>
  </si>
  <si>
    <t>2a</t>
  </si>
  <si>
    <t>2b</t>
  </si>
  <si>
    <t xml:space="preserve"> - związane z funkcjonowaniem JST</t>
  </si>
  <si>
    <t>2c</t>
  </si>
  <si>
    <t>z tytułu gwarancji i poręczeń, w tym:</t>
  </si>
  <si>
    <t>2d</t>
  </si>
  <si>
    <t>gwarancje i poręczenia podlegające wyłączeniu z limitów spłaty zobowiązań z art. 243 ufp/169sufp</t>
  </si>
  <si>
    <t>wydatki bieżące objęte limitem art. 226 ust. 4 ufp</t>
  </si>
  <si>
    <t>2e</t>
  </si>
  <si>
    <t>Różnica (1 - 2)</t>
  </si>
  <si>
    <t>4a</t>
  </si>
  <si>
    <t>7a</t>
  </si>
  <si>
    <t>7b</t>
  </si>
  <si>
    <t>rozchody z tytułu spłaty rat kapitałowych oraz wykupu papierów wartościowych</t>
  </si>
  <si>
    <t>7a1</t>
  </si>
  <si>
    <t>7a2</t>
  </si>
  <si>
    <t>7a3</t>
  </si>
  <si>
    <t>Rozliczenie budżetu (9-10+11)</t>
  </si>
  <si>
    <t>10a</t>
  </si>
  <si>
    <t>10b</t>
  </si>
  <si>
    <t>13a</t>
  </si>
  <si>
    <t>Przychody budżetu  (4+5+11)</t>
  </si>
  <si>
    <t>Rozchody budżetu  (7a + 8)</t>
  </si>
  <si>
    <t>Planowana łączna kwota spłaty zobowiązań /dochody ogółem -max 15% z art. 169 sufp ((7a+2c+7b-2d-13b)/1)</t>
  </si>
  <si>
    <t>Spełnienie wskaźnika spłaty z art. 243 ufp po uwzględnieniu art. 244 ufp ((7+2c+14)/1&lt;=15a)</t>
  </si>
  <si>
    <t>Nazwa i cel</t>
  </si>
  <si>
    <t>Jednostka odpowiedzialna</t>
  </si>
  <si>
    <t>Okres realizacji</t>
  </si>
  <si>
    <t>Klasyfikacja budżetowa</t>
  </si>
  <si>
    <t>Łączne nakłady finansowe</t>
  </si>
  <si>
    <t>Wydatki poniesione w latach poprzednich</t>
  </si>
  <si>
    <t>Limity wydatków w poszczególnych latach (wszystkie lata)</t>
  </si>
  <si>
    <t>Limit zobowiązań</t>
  </si>
  <si>
    <t>Przewidywane dofinansowanie do zadania/programu</t>
  </si>
  <si>
    <t>Razem dofinans.</t>
  </si>
  <si>
    <t>(w wierszu program/umowa)</t>
  </si>
  <si>
    <t>Od</t>
  </si>
  <si>
    <t>Do</t>
  </si>
  <si>
    <t>Dział</t>
  </si>
  <si>
    <t>Rozdz.</t>
  </si>
  <si>
    <t>…</t>
  </si>
  <si>
    <t>Przedsięwzięcia ogółem</t>
  </si>
  <si>
    <t>– wydatki bieżące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</si>
  <si>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</si>
  <si>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</si>
  <si>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</si>
  <si>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>Szkoła przyjazna uczniom</t>
  </si>
  <si>
    <t>UMiG</t>
  </si>
  <si>
    <t>b) programy, projekty lub zadania związane z umowami partnerstwa publiczno-prywatnego (razem)</t>
  </si>
  <si>
    <t>x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</si>
  <si>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</si>
  <si>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</si>
  <si>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</si>
  <si>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 xml:space="preserve">Komunikacja Miejska </t>
  </si>
  <si>
    <t>Dowożenie uczniów do szkół</t>
  </si>
  <si>
    <t>3) gwarancje i poręczenia udzielane przez jednostki samorządu terytorialnego (razem)</t>
  </si>
  <si>
    <t xml:space="preserve"> - wydatki majątkowe</t>
  </si>
  <si>
    <t>a) programy, projekty lub zadania związane z programami realizowanymi z udziałem środków, o których mowa w art. 5 ust. 1 pkt 2 i 3 (razem)</t>
  </si>
  <si>
    <t>Lokalny Program Rewitalizacji na lata 2008-2015</t>
  </si>
  <si>
    <t>Modernizacja budynku przy ul.Techników 12 oraz zakup wyposażenia do świetlicy OPTY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</si>
  <si>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</si>
  <si>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</si>
  <si>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Wdrożenie systemu monitoringu na obszarze wsparcia </t>
  </si>
  <si>
    <t xml:space="preserve">Modernizacja oświetlenia na obszarze wsparcia </t>
  </si>
  <si>
    <t xml:space="preserve">Modernizacja drobnej infrastruktury przestrzeni publicznej  w zakresie  chodników,parkingów i zieleni miejskiej na obszarze wsparcia </t>
  </si>
  <si>
    <t xml:space="preserve">Przebudowa i Rozbudowa budynku remizy z przeznaczeniem części pomieszczeń na świetlicę wiejską w Wójcicach </t>
  </si>
  <si>
    <t>Budowa kanalizacji sanitarnej w Chwałowicach i Dębinie etap 4-5</t>
  </si>
  <si>
    <t>Budowa publicznej sieci szerokopasmowej na terenie gminy Jelcz-Laskowice (planowane środki unijne)</t>
  </si>
  <si>
    <t>Zagospodarowanie placu w centrum Miłoszycwraz z przebudową ciągu pieszo-jezdnego (ul. Kościelna) (planowane środki unijne)</t>
  </si>
  <si>
    <t>c) programy, projekty lub zadania pozostałe (inne niż wymienione w lit. a i b (razem)</t>
  </si>
  <si>
    <t xml:space="preserve">Wieloletni Program Inwestycyjny </t>
  </si>
  <si>
    <t>Przebudowa ulic: Polnej, Wąskopolnej, Sadowej w Jelczu-Laskowicach (projekt)</t>
  </si>
  <si>
    <t>Przebudowa dróg na Osiedlu Domków Jednorodzinnych w Jelczu-Laskowicach - etap I (ul. Frezjowa)</t>
  </si>
  <si>
    <t>Przebudowa ul. Bożka w Jelczu-Laskowicach - etap II</t>
  </si>
  <si>
    <t>Przebudowa ul.Bożka w Jelczu-Laskowicach - etap III (projekt)</t>
  </si>
  <si>
    <t xml:space="preserve">Przebudowa drogi gminnej - ul. Bolesława Prusa w Jelczu-Laskowicach </t>
  </si>
  <si>
    <t>Zagospodarowanie terenu rekreacyjnego z placem zabaw na Placu Wrzosowym w Jelczu-Laskowicach</t>
  </si>
  <si>
    <t>Budowa kanalizacji sanitarnej w Kopalinie</t>
  </si>
  <si>
    <t>Budowa kanalizacji sanitarnej w Minkowicach Oławskich</t>
  </si>
  <si>
    <t>Budowa budynku socjalnego</t>
  </si>
  <si>
    <t xml:space="preserve">Budowa Centrum Sportu i Rekreacji przy ul. Oławskiej w Jelczu-Laskowicach </t>
  </si>
  <si>
    <t>Utworzenie Społecznego Konserwatorium Edukacji Ekologicznej w Chwałowicach (NFOŚiGW - środki krajowe)</t>
  </si>
  <si>
    <t>Infrastruktura drogowa - WSSE strefa ekonomiczna</t>
  </si>
  <si>
    <t>umowa 2 ogółem</t>
  </si>
  <si>
    <t>umowa 3 ogółem</t>
  </si>
  <si>
    <t>w tym:</t>
  </si>
  <si>
    <t>bieżące</t>
  </si>
  <si>
    <t>Relacja (Db-Wb+Dsm)/Do, o której mowa w art. 243 w danym roku (1a-19+1c)/1)</t>
  </si>
  <si>
    <t>Kredyt PKO SA</t>
  </si>
  <si>
    <t>wfos etap 1-3</t>
  </si>
  <si>
    <t>załącznik nr 1</t>
  </si>
  <si>
    <t>Rady Miejskiej w Jelczu-Laskowicach</t>
  </si>
  <si>
    <t>załącznik nr 2</t>
  </si>
  <si>
    <t>Zadania bieżące</t>
  </si>
  <si>
    <t>Wykaz planowanych zadań przy udziale środków UE</t>
  </si>
  <si>
    <t>Kwota</t>
  </si>
  <si>
    <t xml:space="preserve">do uchwały nr       /    /2011 </t>
  </si>
  <si>
    <t xml:space="preserve">z dnia:             2011 r. </t>
  </si>
  <si>
    <t xml:space="preserve">z dnia:        2011 r. </t>
  </si>
  <si>
    <t>Indywidualizacja procesu nauczania i wychowania uczniów klas I - III szkół podstawowych</t>
  </si>
  <si>
    <t xml:space="preserve">Przewidywane wykonanie </t>
  </si>
  <si>
    <t>Plan 3kw.</t>
  </si>
  <si>
    <t>11a</t>
  </si>
  <si>
    <t>w tym: na pokrycie deficytu budżetu</t>
  </si>
  <si>
    <t xml:space="preserve">pożyczki </t>
  </si>
  <si>
    <t>- pozostałe dochody majątkowe</t>
  </si>
  <si>
    <t>1a1</t>
  </si>
  <si>
    <t>w tym środki z UE</t>
  </si>
  <si>
    <t>1d</t>
  </si>
  <si>
    <t>środki z UE</t>
  </si>
  <si>
    <t>2f</t>
  </si>
  <si>
    <t>na projekty realizowane przy udziale środków, o których mowa w art. 5 ust. 1 pkt 2</t>
  </si>
  <si>
    <t>10c</t>
  </si>
  <si>
    <t>pożyczka 2013</t>
  </si>
  <si>
    <t>pożyczka 2012</t>
  </si>
  <si>
    <t>Nadwyżka budżetowa z lat ubiegłych plus wolne środki, o których mowa w art. 217 ust.1 pkt 6 ufp, angażowane w budżecie roku bieżącego</t>
  </si>
  <si>
    <t>5a</t>
  </si>
  <si>
    <t>w tym: kwota wyłączeń z art. 243 ust. 3 pkt 1 ufp oraz art. 169 ust. 3 sufp przypadająca na dany rok budżetowy</t>
  </si>
  <si>
    <t>7b1</t>
  </si>
  <si>
    <t>w tym: odsetki i dyskonto</t>
  </si>
  <si>
    <t>wydatki majątkowe objęte limitem art. 226 ust. 4 ufp</t>
  </si>
  <si>
    <t>Kredyty, pożyczki, sprzedaż papierów wartościowych</t>
  </si>
  <si>
    <t>Kwota długu,</t>
  </si>
  <si>
    <t>w tym: dług spłacany wydatkami (zobowiązania wymagalne, umowy zaliczane do kategorii kredytów i pożyczek, itp.)</t>
  </si>
  <si>
    <t>Łączna kwota wyłączeń z art. 170 ust. 3 sufp</t>
  </si>
  <si>
    <t>Kwoty nadwyżki budżetowej planowanej w poszczególnych latach objętych prognozą **</t>
  </si>
  <si>
    <t>Wartość przejętych zobowiązań</t>
  </si>
  <si>
    <t>17a</t>
  </si>
  <si>
    <t xml:space="preserve">w tym: od samorządowych samodzielnych publicznych zakładów opieki zdrowotnej </t>
  </si>
  <si>
    <t>18a</t>
  </si>
  <si>
    <t>Zadłużenie/dochody ogółem - max 60% z art. 170 sufp (po uwzględnieniu wyłączeń)</t>
  </si>
  <si>
    <t>19a</t>
  </si>
  <si>
    <t>Planowana łączna kwota spłaty zobowiązań/dochody ogółem - max 15% z art. 169 sufp (po uwzględnieniu wyłączeń)</t>
  </si>
  <si>
    <t>20a</t>
  </si>
  <si>
    <t>Relacja planowanej łącznej kwoty spłaty zobowiązań do dochodów  (bez wyłączeń)</t>
  </si>
  <si>
    <t>21a</t>
  </si>
  <si>
    <t>Relacja planowanej łącznej kwoty spłaty zobowiązań do dochodów (po uwzględnieniu wyłączeń)</t>
  </si>
  <si>
    <t>22a</t>
  </si>
  <si>
    <t>Spełnienie wskaźnika spłaty z art. 243 ufp po uwzględnieniu art. 244 ufp (po uwzględnieniu wyłączeń)</t>
  </si>
  <si>
    <t>Dochody bieżące (1a)</t>
  </si>
  <si>
    <t>Dochody bieżące - wydatki bieżące</t>
  </si>
  <si>
    <t>Dochody majątkowe (1b)</t>
  </si>
  <si>
    <t>Wydatki majątkowe (10)</t>
  </si>
  <si>
    <t>Dochody majątkowe - wydatki majątkowe</t>
  </si>
  <si>
    <t>Dochody ogółem (1)</t>
  </si>
  <si>
    <t>Wydatki ogółem</t>
  </si>
  <si>
    <t>Wynik budżetu</t>
  </si>
  <si>
    <t>Wykaz przedsięwzięć do WPF na lata 2012–2016</t>
  </si>
  <si>
    <t>utrzymanie jazu wodnego</t>
  </si>
  <si>
    <t>010</t>
  </si>
  <si>
    <t>01008</t>
  </si>
  <si>
    <t>Poprawa efektywności energetycznej obiektów gminnych na terenie gminy Jelcz-Laskowice</t>
  </si>
  <si>
    <t>Energia słońca - oświetlenie solarne na obszarach wiejskich</t>
  </si>
  <si>
    <t>PROW</t>
  </si>
  <si>
    <t>Modernizacja świetlic wiejskich na terenie gminy Jelcz-Laskowice</t>
  </si>
  <si>
    <t>Program Rozwoju Obszarów Wiejskich</t>
  </si>
  <si>
    <t>Zadania iwestycyjne</t>
  </si>
  <si>
    <t>Razem</t>
  </si>
  <si>
    <t>Projekt RIEEB EnercitEE</t>
  </si>
  <si>
    <t>projekt EEMTE EnercitEE</t>
  </si>
  <si>
    <t>Kapitał ludzki - zapobieganie społecznemu wykluczeniu</t>
  </si>
  <si>
    <t>MGOPS</t>
  </si>
  <si>
    <t>realizowanych w 2012 roku</t>
  </si>
  <si>
    <t>Infrastruktura - WSSE strefa ekonomiczna</t>
  </si>
  <si>
    <t>Zagospodarowanie placu w centrum Miłoszyc wraz z przebudową ciągu pieszo-jezdnego (ul. Kościelna - planowane środki unijne)</t>
  </si>
  <si>
    <t>Wieloletnia prognoza finansowa wraz z prognozą kwoty długu i spłat zobowiązań na lata 2012-2022</t>
  </si>
  <si>
    <t>Zagospodarowanie terenu ośrodka wypoczynkowego nad stawem w Jelczu-Laskowicach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</si>
</sst>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#,##0.0"/>
    <numFmt numFmtId="168" formatCode="#,##0.000"/>
    <numFmt numFmtId="169" formatCode="#,##0_ ;[Red]\-#,##0\ "/>
  </numFmts>
  <fonts count="27">
    <font>
      <sz val="14"/>
      <name val="Times New Roman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3" fillId="0" borderId="3" xfId="15" applyNumberFormat="1" applyFont="1" applyBorder="1" applyAlignment="1">
      <alignment horizontal="right" vertical="center" wrapText="1"/>
    </xf>
    <xf numFmtId="164" fontId="6" fillId="0" borderId="3" xfId="15" applyNumberFormat="1" applyFont="1" applyBorder="1" applyAlignment="1">
      <alignment horizontal="right" vertical="center" wrapText="1"/>
    </xf>
    <xf numFmtId="3" fontId="6" fillId="0" borderId="3" xfId="15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6" fillId="0" borderId="4" xfId="15" applyNumberFormat="1" applyFont="1" applyBorder="1" applyAlignment="1">
      <alignment horizontal="right" vertical="center" wrapText="1"/>
    </xf>
    <xf numFmtId="3" fontId="6" fillId="0" borderId="4" xfId="15" applyNumberFormat="1" applyFont="1" applyBorder="1" applyAlignment="1">
      <alignment horizontal="right" vertical="center" wrapText="1"/>
    </xf>
    <xf numFmtId="164" fontId="6" fillId="0" borderId="5" xfId="15" applyNumberFormat="1" applyFont="1" applyBorder="1" applyAlignment="1">
      <alignment horizontal="right" vertical="center" wrapText="1"/>
    </xf>
    <xf numFmtId="3" fontId="6" fillId="0" borderId="5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/>
    </xf>
    <xf numFmtId="164" fontId="6" fillId="0" borderId="6" xfId="15" applyNumberFormat="1" applyFont="1" applyBorder="1" applyAlignment="1">
      <alignment horizontal="right" vertical="center" wrapText="1"/>
    </xf>
    <xf numFmtId="3" fontId="6" fillId="0" borderId="6" xfId="15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6" fillId="0" borderId="7" xfId="15" applyNumberFormat="1" applyFont="1" applyBorder="1" applyAlignment="1">
      <alignment horizontal="right" vertical="center" wrapText="1"/>
    </xf>
    <xf numFmtId="3" fontId="6" fillId="0" borderId="8" xfId="1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8" fillId="0" borderId="3" xfId="15" applyNumberFormat="1" applyFont="1" applyBorder="1" applyAlignment="1">
      <alignment horizontal="right" vertical="center" wrapText="1"/>
    </xf>
    <xf numFmtId="164" fontId="9" fillId="0" borderId="3" xfId="15" applyNumberFormat="1" applyFont="1" applyBorder="1" applyAlignment="1">
      <alignment horizontal="right" vertical="center" wrapText="1"/>
    </xf>
    <xf numFmtId="3" fontId="9" fillId="0" borderId="3" xfId="15" applyNumberFormat="1" applyFont="1" applyBorder="1" applyAlignment="1">
      <alignment horizontal="right" vertical="center" wrapText="1"/>
    </xf>
    <xf numFmtId="10" fontId="6" fillId="0" borderId="3" xfId="18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3" fontId="3" fillId="0" borderId="9" xfId="15" applyNumberFormat="1" applyFont="1" applyBorder="1" applyAlignment="1">
      <alignment horizontal="right" vertical="center" wrapText="1"/>
    </xf>
    <xf numFmtId="3" fontId="6" fillId="0" borderId="9" xfId="15" applyNumberFormat="1" applyFont="1" applyBorder="1" applyAlignment="1">
      <alignment horizontal="right" vertical="center" wrapText="1"/>
    </xf>
    <xf numFmtId="3" fontId="6" fillId="0" borderId="10" xfId="15" applyNumberFormat="1" applyFont="1" applyBorder="1" applyAlignment="1">
      <alignment horizontal="right" vertical="center" wrapText="1"/>
    </xf>
    <xf numFmtId="3" fontId="6" fillId="0" borderId="11" xfId="15" applyNumberFormat="1" applyFont="1" applyBorder="1" applyAlignment="1">
      <alignment horizontal="right" vertical="center" wrapText="1"/>
    </xf>
    <xf numFmtId="3" fontId="6" fillId="0" borderId="12" xfId="15" applyNumberFormat="1" applyFont="1" applyBorder="1" applyAlignment="1">
      <alignment horizontal="right" vertical="center" wrapText="1"/>
    </xf>
    <xf numFmtId="3" fontId="9" fillId="0" borderId="9" xfId="15" applyNumberFormat="1" applyFont="1" applyBorder="1" applyAlignment="1">
      <alignment horizontal="right" vertical="center" wrapText="1"/>
    </xf>
    <xf numFmtId="3" fontId="6" fillId="0" borderId="13" xfId="15" applyNumberFormat="1" applyFont="1" applyBorder="1" applyAlignment="1">
      <alignment horizontal="right" vertical="center" wrapText="1"/>
    </xf>
    <xf numFmtId="3" fontId="6" fillId="0" borderId="14" xfId="15" applyNumberFormat="1" applyFont="1" applyBorder="1" applyAlignment="1">
      <alignment horizontal="right" vertical="center" wrapText="1"/>
    </xf>
    <xf numFmtId="3" fontId="9" fillId="0" borderId="13" xfId="15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0" fontId="6" fillId="0" borderId="0" xfId="18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center" vertical="center" wrapText="1"/>
    </xf>
    <xf numFmtId="165" fontId="6" fillId="0" borderId="9" xfId="15" applyNumberFormat="1" applyFont="1" applyBorder="1" applyAlignment="1">
      <alignment horizontal="center" vertical="center" wrapText="1"/>
    </xf>
    <xf numFmtId="4" fontId="6" fillId="0" borderId="0" xfId="18" applyNumberFormat="1" applyFont="1" applyBorder="1" applyAlignment="1">
      <alignment horizontal="right" vertical="center" wrapText="1"/>
    </xf>
    <xf numFmtId="3" fontId="6" fillId="0" borderId="15" xfId="15" applyNumberFormat="1" applyFont="1" applyBorder="1" applyAlignment="1">
      <alignment horizontal="right" vertical="center" wrapText="1"/>
    </xf>
    <xf numFmtId="3" fontId="6" fillId="0" borderId="16" xfId="15" applyNumberFormat="1" applyFont="1" applyBorder="1" applyAlignment="1">
      <alignment horizontal="right" vertical="center" wrapText="1"/>
    </xf>
    <xf numFmtId="3" fontId="6" fillId="0" borderId="17" xfId="15" applyNumberFormat="1" applyFont="1" applyBorder="1" applyAlignment="1">
      <alignment horizontal="right" vertical="center" wrapText="1"/>
    </xf>
    <xf numFmtId="3" fontId="3" fillId="0" borderId="18" xfId="15" applyNumberFormat="1" applyFont="1" applyBorder="1" applyAlignment="1">
      <alignment horizontal="right" vertical="center" wrapText="1"/>
    </xf>
    <xf numFmtId="3" fontId="6" fillId="0" borderId="18" xfId="15" applyNumberFormat="1" applyFont="1" applyBorder="1" applyAlignment="1">
      <alignment horizontal="right" vertical="center" wrapText="1"/>
    </xf>
    <xf numFmtId="3" fontId="9" fillId="0" borderId="18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164" fontId="6" fillId="0" borderId="1" xfId="15" applyNumberFormat="1" applyFont="1" applyBorder="1" applyAlignment="1">
      <alignment horizontal="right" vertical="center" wrapText="1"/>
    </xf>
    <xf numFmtId="3" fontId="6" fillId="0" borderId="1" xfId="15" applyNumberFormat="1" applyFont="1" applyBorder="1" applyAlignment="1">
      <alignment horizontal="right" vertical="center" wrapText="1"/>
    </xf>
    <xf numFmtId="3" fontId="6" fillId="0" borderId="2" xfId="15" applyNumberFormat="1" applyFont="1" applyBorder="1" applyAlignment="1">
      <alignment horizontal="right" vertical="center" wrapText="1"/>
    </xf>
    <xf numFmtId="10" fontId="6" fillId="0" borderId="18" xfId="18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0" fontId="3" fillId="0" borderId="3" xfId="18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0" fontId="3" fillId="0" borderId="9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12" fillId="0" borderId="21" xfId="0" applyFont="1" applyBorder="1" applyAlignment="1" quotePrefix="1">
      <alignment horizontal="center" vertical="center" wrapText="1"/>
    </xf>
    <xf numFmtId="16" fontId="13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 quotePrefix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" fontId="3" fillId="0" borderId="3" xfId="18" applyNumberFormat="1" applyFont="1" applyBorder="1" applyAlignment="1">
      <alignment horizontal="right" vertical="center" wrapText="1"/>
    </xf>
    <xf numFmtId="0" fontId="5" fillId="2" borderId="22" xfId="0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0" fontId="3" fillId="0" borderId="18" xfId="18" applyNumberFormat="1" applyFont="1" applyBorder="1" applyAlignment="1">
      <alignment horizontal="right" vertical="center" wrapText="1"/>
    </xf>
    <xf numFmtId="3" fontId="3" fillId="0" borderId="18" xfId="18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164" fontId="6" fillId="0" borderId="20" xfId="15" applyNumberFormat="1" applyFont="1" applyBorder="1" applyAlignment="1">
      <alignment horizontal="right" vertical="center" wrapText="1"/>
    </xf>
    <xf numFmtId="3" fontId="3" fillId="0" borderId="20" xfId="15" applyNumberFormat="1" applyFont="1" applyBorder="1" applyAlignment="1">
      <alignment horizontal="right" vertical="center" wrapText="1"/>
    </xf>
    <xf numFmtId="3" fontId="3" fillId="0" borderId="25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6" fillId="0" borderId="27" xfId="15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/>
    </xf>
    <xf numFmtId="10" fontId="6" fillId="0" borderId="9" xfId="18" applyNumberFormat="1" applyFont="1" applyBorder="1" applyAlignment="1">
      <alignment horizontal="right" vertical="center" wrapText="1"/>
    </xf>
    <xf numFmtId="10" fontId="3" fillId="0" borderId="9" xfId="15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9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5" fillId="0" borderId="9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5" fillId="0" borderId="9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13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5" fontId="6" fillId="0" borderId="7" xfId="15" applyNumberFormat="1" applyFont="1" applyBorder="1" applyAlignment="1">
      <alignment horizontal="right" vertical="center" wrapText="1"/>
    </xf>
    <xf numFmtId="10" fontId="6" fillId="0" borderId="7" xfId="18" applyNumberFormat="1" applyFont="1" applyBorder="1" applyAlignment="1">
      <alignment horizontal="right" vertical="center" wrapText="1"/>
    </xf>
    <xf numFmtId="10" fontId="6" fillId="0" borderId="29" xfId="18" applyNumberFormat="1" applyFont="1" applyBorder="1" applyAlignment="1">
      <alignment horizontal="right" vertical="center" wrapText="1"/>
    </xf>
    <xf numFmtId="10" fontId="6" fillId="0" borderId="7" xfId="18" applyNumberFormat="1" applyFont="1" applyBorder="1" applyAlignment="1">
      <alignment horizontal="center" vertical="center" wrapText="1"/>
    </xf>
    <xf numFmtId="10" fontId="6" fillId="0" borderId="29" xfId="18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168" fontId="6" fillId="0" borderId="9" xfId="0" applyNumberFormat="1" applyFont="1" applyBorder="1" applyAlignment="1">
      <alignment vertical="center"/>
    </xf>
    <xf numFmtId="3" fontId="3" fillId="0" borderId="9" xfId="15" applyNumberFormat="1" applyFont="1" applyBorder="1" applyAlignment="1">
      <alignment horizontal="center" vertical="center" wrapText="1"/>
    </xf>
    <xf numFmtId="3" fontId="3" fillId="0" borderId="18" xfId="15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/>
    </xf>
    <xf numFmtId="4" fontId="3" fillId="0" borderId="3" xfId="15" applyNumberFormat="1" applyFont="1" applyBorder="1" applyAlignment="1">
      <alignment horizontal="right" vertical="center" wrapText="1"/>
    </xf>
    <xf numFmtId="4" fontId="3" fillId="0" borderId="9" xfId="15" applyNumberFormat="1" applyFont="1" applyBorder="1" applyAlignment="1">
      <alignment horizontal="right" vertical="center" wrapText="1"/>
    </xf>
    <xf numFmtId="4" fontId="6" fillId="0" borderId="3" xfId="15" applyNumberFormat="1" applyFont="1" applyBorder="1" applyAlignment="1">
      <alignment horizontal="right" vertical="center" wrapText="1"/>
    </xf>
    <xf numFmtId="4" fontId="6" fillId="0" borderId="9" xfId="15" applyNumberFormat="1" applyFont="1" applyBorder="1" applyAlignment="1">
      <alignment horizontal="right" vertical="center" wrapText="1"/>
    </xf>
    <xf numFmtId="4" fontId="6" fillId="0" borderId="18" xfId="15" applyNumberFormat="1" applyFont="1" applyBorder="1" applyAlignment="1">
      <alignment horizontal="right" vertical="center" wrapText="1"/>
    </xf>
    <xf numFmtId="4" fontId="9" fillId="0" borderId="3" xfId="15" applyNumberFormat="1" applyFont="1" applyBorder="1" applyAlignment="1">
      <alignment horizontal="right" vertical="center" wrapText="1"/>
    </xf>
    <xf numFmtId="4" fontId="9" fillId="0" borderId="9" xfId="15" applyNumberFormat="1" applyFont="1" applyBorder="1" applyAlignment="1">
      <alignment horizontal="right" vertical="center" wrapText="1"/>
    </xf>
    <xf numFmtId="4" fontId="9" fillId="0" borderId="18" xfId="15" applyNumberFormat="1" applyFont="1" applyBorder="1" applyAlignment="1">
      <alignment horizontal="right" vertical="center" wrapText="1"/>
    </xf>
    <xf numFmtId="4" fontId="8" fillId="0" borderId="3" xfId="15" applyNumberFormat="1" applyFont="1" applyBorder="1" applyAlignment="1">
      <alignment horizontal="right" vertical="center" wrapText="1"/>
    </xf>
    <xf numFmtId="4" fontId="8" fillId="0" borderId="9" xfId="15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" fontId="6" fillId="0" borderId="4" xfId="15" applyNumberFormat="1" applyFont="1" applyBorder="1" applyAlignment="1">
      <alignment horizontal="right" vertical="center" wrapText="1"/>
    </xf>
    <xf numFmtId="4" fontId="6" fillId="0" borderId="10" xfId="15" applyNumberFormat="1" applyFont="1" applyBorder="1" applyAlignment="1">
      <alignment horizontal="right" vertical="center" wrapText="1"/>
    </xf>
    <xf numFmtId="4" fontId="6" fillId="0" borderId="5" xfId="15" applyNumberFormat="1" applyFont="1" applyBorder="1" applyAlignment="1">
      <alignment horizontal="right" vertical="center" wrapText="1"/>
    </xf>
    <xf numFmtId="4" fontId="6" fillId="0" borderId="11" xfId="15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6" fillId="0" borderId="1" xfId="15" applyNumberFormat="1" applyFont="1" applyBorder="1" applyAlignment="1">
      <alignment horizontal="right" vertical="center" wrapText="1"/>
    </xf>
    <xf numFmtId="4" fontId="6" fillId="0" borderId="2" xfId="15" applyNumberFormat="1" applyFont="1" applyBorder="1" applyAlignment="1">
      <alignment horizontal="right" vertical="center" wrapText="1"/>
    </xf>
    <xf numFmtId="4" fontId="6" fillId="0" borderId="7" xfId="15" applyNumberFormat="1" applyFont="1" applyBorder="1" applyAlignment="1">
      <alignment horizontal="right" vertical="center" wrapText="1"/>
    </xf>
    <xf numFmtId="4" fontId="6" fillId="0" borderId="29" xfId="15" applyNumberFormat="1" applyFont="1" applyBorder="1" applyAlignment="1">
      <alignment horizontal="right" vertical="center" wrapText="1"/>
    </xf>
    <xf numFmtId="4" fontId="6" fillId="0" borderId="3" xfId="15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4" fontId="3" fillId="0" borderId="3" xfId="18" applyNumberFormat="1" applyFont="1" applyBorder="1" applyAlignment="1">
      <alignment horizontal="right" vertical="center" wrapText="1"/>
    </xf>
    <xf numFmtId="4" fontId="3" fillId="0" borderId="20" xfId="15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4" fontId="3" fillId="0" borderId="28" xfId="15" applyNumberFormat="1" applyFont="1" applyBorder="1" applyAlignment="1">
      <alignment horizontal="right" vertical="center" wrapText="1"/>
    </xf>
    <xf numFmtId="4" fontId="6" fillId="0" borderId="28" xfId="15" applyNumberFormat="1" applyFont="1" applyBorder="1" applyAlignment="1">
      <alignment horizontal="right" vertical="center" wrapText="1"/>
    </xf>
    <xf numFmtId="4" fontId="6" fillId="0" borderId="31" xfId="15" applyNumberFormat="1" applyFont="1" applyBorder="1" applyAlignment="1">
      <alignment horizontal="right" vertical="center" wrapText="1"/>
    </xf>
    <xf numFmtId="4" fontId="6" fillId="0" borderId="32" xfId="15" applyNumberFormat="1" applyFont="1" applyBorder="1" applyAlignment="1">
      <alignment horizontal="right" vertical="center" wrapText="1"/>
    </xf>
    <xf numFmtId="4" fontId="6" fillId="0" borderId="33" xfId="15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/>
    </xf>
    <xf numFmtId="0" fontId="5" fillId="2" borderId="3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3" fillId="0" borderId="18" xfId="15" applyNumberFormat="1" applyFont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/>
    </xf>
    <xf numFmtId="3" fontId="3" fillId="0" borderId="21" xfId="15" applyNumberFormat="1" applyFont="1" applyBorder="1" applyAlignment="1">
      <alignment horizontal="right" vertical="center" wrapText="1"/>
    </xf>
    <xf numFmtId="3" fontId="6" fillId="0" borderId="21" xfId="15" applyNumberFormat="1" applyFont="1" applyBorder="1" applyAlignment="1">
      <alignment horizontal="right" vertical="center" wrapText="1"/>
    </xf>
    <xf numFmtId="3" fontId="9" fillId="0" borderId="21" xfId="15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35" xfId="15" applyNumberFormat="1" applyFont="1" applyBorder="1" applyAlignment="1">
      <alignment horizontal="right" vertical="center" wrapText="1"/>
    </xf>
    <xf numFmtId="3" fontId="6" fillId="0" borderId="36" xfId="15" applyNumberFormat="1" applyFont="1" applyBorder="1" applyAlignment="1">
      <alignment horizontal="right" vertical="center" wrapText="1"/>
    </xf>
    <xf numFmtId="3" fontId="6" fillId="0" borderId="37" xfId="15" applyNumberFormat="1" applyFont="1" applyBorder="1" applyAlignment="1">
      <alignment horizontal="right" vertical="center" wrapText="1"/>
    </xf>
    <xf numFmtId="3" fontId="6" fillId="0" borderId="38" xfId="15" applyNumberFormat="1" applyFont="1" applyBorder="1" applyAlignment="1">
      <alignment horizontal="right" vertical="center" wrapText="1"/>
    </xf>
    <xf numFmtId="3" fontId="6" fillId="0" borderId="39" xfId="15" applyNumberFormat="1" applyFont="1" applyBorder="1" applyAlignment="1">
      <alignment horizontal="right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vertical="center" wrapText="1"/>
    </xf>
    <xf numFmtId="3" fontId="8" fillId="0" borderId="13" xfId="15" applyNumberFormat="1" applyFont="1" applyFill="1" applyBorder="1" applyAlignment="1">
      <alignment horizontal="right" vertical="center" wrapText="1"/>
    </xf>
    <xf numFmtId="4" fontId="3" fillId="0" borderId="21" xfId="15" applyNumberFormat="1" applyFont="1" applyBorder="1" applyAlignment="1">
      <alignment horizontal="right" vertical="center" wrapText="1"/>
    </xf>
    <xf numFmtId="4" fontId="6" fillId="0" borderId="21" xfId="15" applyNumberFormat="1" applyFont="1" applyBorder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4" fontId="6" fillId="0" borderId="15" xfId="15" applyNumberFormat="1" applyFont="1" applyBorder="1" applyAlignment="1">
      <alignment horizontal="right" vertical="center" wrapText="1"/>
    </xf>
    <xf numFmtId="4" fontId="6" fillId="0" borderId="16" xfId="15" applyNumberFormat="1" applyFont="1" applyBorder="1" applyAlignment="1">
      <alignment horizontal="right" vertical="center" wrapText="1"/>
    </xf>
    <xf numFmtId="4" fontId="6" fillId="0" borderId="17" xfId="15" applyNumberFormat="1" applyFont="1" applyBorder="1" applyAlignment="1">
      <alignment horizontal="right" vertical="center" wrapText="1"/>
    </xf>
    <xf numFmtId="4" fontId="6" fillId="0" borderId="43" xfId="15" applyNumberFormat="1" applyFont="1" applyBorder="1" applyAlignment="1">
      <alignment horizontal="right" vertical="center" wrapText="1"/>
    </xf>
    <xf numFmtId="4" fontId="6" fillId="0" borderId="44" xfId="15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vertical="center"/>
    </xf>
    <xf numFmtId="3" fontId="6" fillId="0" borderId="32" xfId="15" applyNumberFormat="1" applyFont="1" applyBorder="1" applyAlignment="1">
      <alignment horizontal="right" vertical="center" wrapText="1"/>
    </xf>
    <xf numFmtId="3" fontId="6" fillId="0" borderId="45" xfId="15" applyNumberFormat="1" applyFont="1" applyBorder="1" applyAlignment="1">
      <alignment horizontal="righ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6" fillId="3" borderId="3" xfId="15" applyNumberFormat="1" applyFont="1" applyFill="1" applyBorder="1" applyAlignment="1">
      <alignment horizontal="right" vertical="center" wrapText="1"/>
    </xf>
    <xf numFmtId="4" fontId="6" fillId="3" borderId="3" xfId="15" applyNumberFormat="1" applyFont="1" applyFill="1" applyBorder="1" applyAlignment="1">
      <alignment horizontal="right" vertical="center" wrapText="1"/>
    </xf>
    <xf numFmtId="4" fontId="6" fillId="3" borderId="9" xfId="15" applyNumberFormat="1" applyFont="1" applyFill="1" applyBorder="1" applyAlignment="1">
      <alignment horizontal="right" vertical="center" wrapText="1"/>
    </xf>
    <xf numFmtId="4" fontId="6" fillId="3" borderId="18" xfId="15" applyNumberFormat="1" applyFont="1" applyFill="1" applyBorder="1" applyAlignment="1">
      <alignment horizontal="right" vertical="center" wrapText="1"/>
    </xf>
    <xf numFmtId="3" fontId="6" fillId="3" borderId="3" xfId="15" applyNumberFormat="1" applyFont="1" applyFill="1" applyBorder="1" applyAlignment="1">
      <alignment horizontal="right" vertical="center" wrapText="1"/>
    </xf>
    <xf numFmtId="3" fontId="6" fillId="3" borderId="9" xfId="15" applyNumberFormat="1" applyFont="1" applyFill="1" applyBorder="1" applyAlignment="1">
      <alignment horizontal="right" vertical="center" wrapText="1"/>
    </xf>
    <xf numFmtId="3" fontId="6" fillId="3" borderId="18" xfId="15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164" fontId="9" fillId="3" borderId="3" xfId="15" applyNumberFormat="1" applyFont="1" applyFill="1" applyBorder="1" applyAlignment="1">
      <alignment horizontal="right" vertical="center" wrapText="1"/>
    </xf>
    <xf numFmtId="4" fontId="9" fillId="3" borderId="3" xfId="15" applyNumberFormat="1" applyFont="1" applyFill="1" applyBorder="1" applyAlignment="1">
      <alignment horizontal="right" vertical="center" wrapText="1"/>
    </xf>
    <xf numFmtId="4" fontId="9" fillId="3" borderId="9" xfId="15" applyNumberFormat="1" applyFont="1" applyFill="1" applyBorder="1" applyAlignment="1">
      <alignment horizontal="right" vertical="center" wrapText="1"/>
    </xf>
    <xf numFmtId="3" fontId="9" fillId="3" borderId="3" xfId="15" applyNumberFormat="1" applyFont="1" applyFill="1" applyBorder="1" applyAlignment="1">
      <alignment horizontal="right" vertical="center" wrapText="1"/>
    </xf>
    <xf numFmtId="3" fontId="9" fillId="3" borderId="9" xfId="15" applyNumberFormat="1" applyFont="1" applyFill="1" applyBorder="1" applyAlignment="1">
      <alignment horizontal="right" vertical="center" wrapText="1"/>
    </xf>
    <xf numFmtId="3" fontId="9" fillId="3" borderId="18" xfId="15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/>
    </xf>
    <xf numFmtId="3" fontId="6" fillId="3" borderId="21" xfId="15" applyNumberFormat="1" applyFont="1" applyFill="1" applyBorder="1" applyAlignment="1">
      <alignment horizontal="right" vertical="center" wrapText="1"/>
    </xf>
    <xf numFmtId="10" fontId="6" fillId="0" borderId="46" xfId="18" applyNumberFormat="1" applyFont="1" applyBorder="1" applyAlignment="1">
      <alignment horizontal="right" vertical="center" wrapText="1"/>
    </xf>
    <xf numFmtId="0" fontId="24" fillId="0" borderId="6" xfId="17" applyFont="1" applyFill="1" applyBorder="1" applyAlignment="1">
      <alignment horizontal="left" vertical="center" wrapText="1" indent="1"/>
      <protection/>
    </xf>
    <xf numFmtId="0" fontId="24" fillId="0" borderId="5" xfId="17" applyFont="1" applyFill="1" applyBorder="1" applyAlignment="1">
      <alignment vertical="center" wrapText="1"/>
      <protection/>
    </xf>
    <xf numFmtId="4" fontId="6" fillId="0" borderId="46" xfId="15" applyNumberFormat="1" applyFont="1" applyBorder="1" applyAlignment="1">
      <alignment horizontal="right" vertical="center" wrapText="1"/>
    </xf>
    <xf numFmtId="3" fontId="6" fillId="0" borderId="26" xfId="15" applyNumberFormat="1" applyFont="1" applyBorder="1" applyAlignment="1">
      <alignment horizontal="right" vertical="center" wrapText="1"/>
    </xf>
    <xf numFmtId="3" fontId="6" fillId="0" borderId="7" xfId="15" applyNumberFormat="1" applyFont="1" applyBorder="1" applyAlignment="1">
      <alignment horizontal="right" vertical="center" wrapText="1"/>
    </xf>
    <xf numFmtId="3" fontId="6" fillId="0" borderId="29" xfId="15" applyNumberFormat="1" applyFont="1" applyBorder="1" applyAlignment="1">
      <alignment horizontal="right" vertical="center" wrapText="1"/>
    </xf>
    <xf numFmtId="3" fontId="6" fillId="0" borderId="46" xfId="15" applyNumberFormat="1" applyFont="1" applyBorder="1" applyAlignment="1">
      <alignment horizontal="right" vertical="center" wrapText="1"/>
    </xf>
    <xf numFmtId="0" fontId="24" fillId="0" borderId="6" xfId="17" applyFont="1" applyFill="1" applyBorder="1" applyAlignment="1">
      <alignment horizontal="left" vertical="center" wrapText="1" indent="2"/>
      <protection/>
    </xf>
    <xf numFmtId="0" fontId="11" fillId="0" borderId="3" xfId="0" applyFont="1" applyBorder="1" applyAlignment="1">
      <alignment wrapText="1"/>
    </xf>
    <xf numFmtId="0" fontId="25" fillId="0" borderId="3" xfId="17" applyFont="1" applyFill="1" applyBorder="1" applyAlignment="1">
      <alignment vertical="center" wrapText="1"/>
      <protection/>
    </xf>
    <xf numFmtId="0" fontId="5" fillId="0" borderId="4" xfId="17" applyFont="1" applyFill="1" applyBorder="1" applyAlignment="1">
      <alignment vertical="center" wrapText="1"/>
      <protection/>
    </xf>
    <xf numFmtId="0" fontId="4" fillId="0" borderId="6" xfId="17" applyFont="1" applyFill="1" applyBorder="1" applyAlignment="1">
      <alignment horizontal="left" vertical="center" wrapText="1" indent="1"/>
      <protection/>
    </xf>
    <xf numFmtId="0" fontId="25" fillId="0" borderId="5" xfId="17" applyFont="1" applyFill="1" applyBorder="1" applyAlignment="1">
      <alignment vertical="center" wrapText="1"/>
      <protection/>
    </xf>
    <xf numFmtId="10" fontId="3" fillId="0" borderId="3" xfId="18" applyNumberFormat="1" applyFont="1" applyBorder="1" applyAlignment="1">
      <alignment vertical="center"/>
    </xf>
    <xf numFmtId="10" fontId="3" fillId="0" borderId="9" xfId="18" applyNumberFormat="1" applyFont="1" applyBorder="1" applyAlignment="1">
      <alignment vertical="center"/>
    </xf>
    <xf numFmtId="10" fontId="3" fillId="0" borderId="18" xfId="18" applyNumberFormat="1" applyFont="1" applyBorder="1" applyAlignment="1">
      <alignment vertical="center"/>
    </xf>
    <xf numFmtId="10" fontId="3" fillId="0" borderId="9" xfId="18" applyNumberFormat="1" applyFont="1" applyBorder="1" applyAlignment="1">
      <alignment horizontal="center" vertical="center"/>
    </xf>
    <xf numFmtId="10" fontId="3" fillId="0" borderId="3" xfId="18" applyNumberFormat="1" applyFont="1" applyBorder="1" applyAlignment="1">
      <alignment horizontal="center" vertical="center"/>
    </xf>
    <xf numFmtId="10" fontId="3" fillId="0" borderId="18" xfId="18" applyNumberFormat="1" applyFont="1" applyBorder="1" applyAlignment="1">
      <alignment horizontal="center" vertical="center"/>
    </xf>
    <xf numFmtId="0" fontId="4" fillId="0" borderId="6" xfId="17" applyFont="1" applyFill="1" applyBorder="1" applyAlignment="1">
      <alignment horizontal="left" vertical="center" wrapText="1"/>
      <protection/>
    </xf>
    <xf numFmtId="0" fontId="5" fillId="0" borderId="26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/>
    </xf>
    <xf numFmtId="0" fontId="25" fillId="0" borderId="3" xfId="0" applyFont="1" applyBorder="1" applyAlignment="1">
      <alignment vertical="top" wrapText="1"/>
    </xf>
    <xf numFmtId="1" fontId="12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0" fontId="3" fillId="0" borderId="13" xfId="18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/>
    </xf>
    <xf numFmtId="3" fontId="3" fillId="0" borderId="13" xfId="18" applyNumberFormat="1" applyFont="1" applyBorder="1" applyAlignment="1">
      <alignment horizontal="right" vertical="center" wrapText="1"/>
    </xf>
    <xf numFmtId="3" fontId="3" fillId="0" borderId="13" xfId="15" applyNumberFormat="1" applyFont="1" applyBorder="1" applyAlignment="1">
      <alignment horizontal="right" vertical="center" wrapText="1"/>
    </xf>
    <xf numFmtId="3" fontId="3" fillId="0" borderId="50" xfId="15" applyNumberFormat="1" applyFont="1" applyBorder="1" applyAlignment="1">
      <alignment horizontal="right" vertical="center" wrapText="1"/>
    </xf>
    <xf numFmtId="4" fontId="3" fillId="0" borderId="18" xfId="18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/>
    </xf>
    <xf numFmtId="4" fontId="3" fillId="0" borderId="25" xfId="15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0" fontId="6" fillId="0" borderId="3" xfId="18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29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4" fillId="0" borderId="3" xfId="0" applyFont="1" applyBorder="1" applyAlignment="1" quotePrefix="1">
      <alignment horizontal="right" vertical="top" wrapText="1"/>
    </xf>
    <xf numFmtId="0" fontId="15" fillId="0" borderId="3" xfId="0" applyFont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vertical="center" wrapText="1"/>
    </xf>
    <xf numFmtId="3" fontId="16" fillId="0" borderId="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0" fontId="3" fillId="0" borderId="13" xfId="15" applyNumberFormat="1" applyFont="1" applyBorder="1" applyAlignment="1">
      <alignment horizontal="right" vertical="center" wrapText="1"/>
    </xf>
    <xf numFmtId="10" fontId="3" fillId="0" borderId="13" xfId="18" applyNumberFormat="1" applyFont="1" applyBorder="1" applyAlignment="1">
      <alignment vertical="center"/>
    </xf>
    <xf numFmtId="10" fontId="6" fillId="0" borderId="52" xfId="18" applyNumberFormat="1" applyFont="1" applyBorder="1" applyAlignment="1">
      <alignment horizontal="right" vertical="center" wrapText="1"/>
    </xf>
    <xf numFmtId="10" fontId="6" fillId="0" borderId="13" xfId="18" applyNumberFormat="1" applyFont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15" fillId="0" borderId="21" xfId="0" applyFont="1" applyBorder="1" applyAlignment="1">
      <alignment vertical="top" wrapText="1"/>
    </xf>
    <xf numFmtId="0" fontId="4" fillId="0" borderId="54" xfId="0" applyFont="1" applyBorder="1" applyAlignment="1">
      <alignment/>
    </xf>
    <xf numFmtId="0" fontId="11" fillId="0" borderId="45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55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3" fontId="5" fillId="0" borderId="20" xfId="0" applyNumberFormat="1" applyFont="1" applyBorder="1" applyAlignment="1">
      <alignment vertical="center" wrapText="1"/>
    </xf>
    <xf numFmtId="0" fontId="4" fillId="0" borderId="25" xfId="0" applyFont="1" applyBorder="1" applyAlignment="1">
      <alignment/>
    </xf>
    <xf numFmtId="0" fontId="11" fillId="0" borderId="26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57" xfId="0" applyFont="1" applyBorder="1" applyAlignment="1">
      <alignment/>
    </xf>
    <xf numFmtId="0" fontId="5" fillId="0" borderId="57" xfId="0" applyFont="1" applyBorder="1" applyAlignment="1">
      <alignment/>
    </xf>
    <xf numFmtId="3" fontId="5" fillId="0" borderId="2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4" fillId="0" borderId="48" xfId="0" applyFont="1" applyBorder="1" applyAlignment="1">
      <alignment/>
    </xf>
    <xf numFmtId="0" fontId="5" fillId="0" borderId="48" xfId="0" applyFont="1" applyBorder="1" applyAlignment="1">
      <alignment/>
    </xf>
    <xf numFmtId="0" fontId="11" fillId="0" borderId="21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1" fillId="0" borderId="0" xfId="0" applyFont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3" fontId="4" fillId="0" borderId="50" xfId="0" applyNumberFormat="1" applyFont="1" applyFill="1" applyBorder="1" applyAlignment="1">
      <alignment vertical="center" wrapText="1"/>
    </xf>
    <xf numFmtId="3" fontId="5" fillId="0" borderId="50" xfId="0" applyNumberFormat="1" applyFont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0" fontId="24" fillId="0" borderId="37" xfId="17" applyFont="1" applyFill="1" applyBorder="1" applyAlignment="1">
      <alignment horizontal="center" vertical="center"/>
      <protection/>
    </xf>
    <xf numFmtId="0" fontId="25" fillId="0" borderId="21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vertical="center" wrapText="1"/>
    </xf>
    <xf numFmtId="0" fontId="23" fillId="0" borderId="37" xfId="17" applyFont="1" applyFill="1" applyBorder="1" applyAlignment="1">
      <alignment horizontal="center" vertical="center"/>
      <protection/>
    </xf>
    <xf numFmtId="0" fontId="24" fillId="0" borderId="36" xfId="17" applyFont="1" applyFill="1" applyBorder="1" applyAlignment="1">
      <alignment horizontal="center" vertical="center"/>
      <protection/>
    </xf>
    <xf numFmtId="0" fontId="4" fillId="0" borderId="37" xfId="17" applyFont="1" applyFill="1" applyBorder="1" applyAlignment="1">
      <alignment horizontal="center" vertical="center"/>
      <protection/>
    </xf>
    <xf numFmtId="0" fontId="5" fillId="0" borderId="36" xfId="17" applyFont="1" applyFill="1" applyBorder="1" applyAlignment="1">
      <alignment horizontal="center" vertical="center"/>
      <protection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61" xfId="0" applyFont="1" applyBorder="1" applyAlignment="1">
      <alignment/>
    </xf>
    <xf numFmtId="0" fontId="26" fillId="0" borderId="38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3" fontId="9" fillId="3" borderId="21" xfId="15" applyNumberFormat="1" applyFont="1" applyFill="1" applyBorder="1" applyAlignment="1">
      <alignment horizontal="right" vertical="center" wrapText="1"/>
    </xf>
    <xf numFmtId="3" fontId="3" fillId="0" borderId="55" xfId="15" applyNumberFormat="1" applyFont="1" applyBorder="1" applyAlignment="1">
      <alignment horizontal="right" vertical="center" wrapText="1"/>
    </xf>
    <xf numFmtId="3" fontId="6" fillId="0" borderId="55" xfId="15" applyNumberFormat="1" applyFont="1" applyBorder="1" applyAlignment="1">
      <alignment horizontal="right" vertical="center" wrapText="1"/>
    </xf>
    <xf numFmtId="3" fontId="6" fillId="3" borderId="55" xfId="15" applyNumberFormat="1" applyFont="1" applyFill="1" applyBorder="1" applyAlignment="1">
      <alignment horizontal="right" vertical="center" wrapText="1"/>
    </xf>
    <xf numFmtId="3" fontId="9" fillId="0" borderId="55" xfId="15" applyNumberFormat="1" applyFont="1" applyBorder="1" applyAlignment="1">
      <alignment horizontal="right" vertical="center" wrapText="1"/>
    </xf>
    <xf numFmtId="3" fontId="9" fillId="3" borderId="55" xfId="15" applyNumberFormat="1" applyFont="1" applyFill="1" applyBorder="1" applyAlignment="1">
      <alignment horizontal="right" vertical="center" wrapText="1"/>
    </xf>
    <xf numFmtId="3" fontId="8" fillId="0" borderId="55" xfId="15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6" fillId="0" borderId="63" xfId="15" applyNumberFormat="1" applyFont="1" applyBorder="1" applyAlignment="1">
      <alignment horizontal="right" vertical="center" wrapText="1"/>
    </xf>
    <xf numFmtId="3" fontId="6" fillId="0" borderId="64" xfId="15" applyNumberFormat="1" applyFont="1" applyBorder="1" applyAlignment="1">
      <alignment horizontal="right" vertical="center" wrapText="1"/>
    </xf>
    <xf numFmtId="3" fontId="6" fillId="0" borderId="65" xfId="15" applyNumberFormat="1" applyFont="1" applyBorder="1" applyAlignment="1">
      <alignment horizontal="right" vertical="center" wrapText="1"/>
    </xf>
    <xf numFmtId="3" fontId="6" fillId="0" borderId="66" xfId="15" applyNumberFormat="1" applyFont="1" applyBorder="1" applyAlignment="1">
      <alignment horizontal="right" vertical="center" wrapText="1"/>
    </xf>
    <xf numFmtId="3" fontId="6" fillId="0" borderId="67" xfId="15" applyNumberFormat="1" applyFont="1" applyBorder="1" applyAlignment="1">
      <alignment horizontal="right" vertical="center" wrapText="1"/>
    </xf>
    <xf numFmtId="0" fontId="10" fillId="0" borderId="55" xfId="0" applyFont="1" applyBorder="1" applyAlignment="1">
      <alignment vertical="center"/>
    </xf>
    <xf numFmtId="3" fontId="3" fillId="0" borderId="55" xfId="15" applyNumberFormat="1" applyFont="1" applyBorder="1" applyAlignment="1">
      <alignment horizontal="center" vertical="center" wrapText="1"/>
    </xf>
    <xf numFmtId="10" fontId="3" fillId="0" borderId="55" xfId="18" applyNumberFormat="1" applyFont="1" applyBorder="1" applyAlignment="1">
      <alignment horizontal="center" vertical="center"/>
    </xf>
    <xf numFmtId="10" fontId="6" fillId="0" borderId="55" xfId="18" applyNumberFormat="1" applyFont="1" applyBorder="1" applyAlignment="1">
      <alignment horizontal="right" vertical="center" wrapText="1"/>
    </xf>
    <xf numFmtId="10" fontId="3" fillId="0" borderId="55" xfId="18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/>
    </xf>
    <xf numFmtId="3" fontId="3" fillId="0" borderId="55" xfId="18" applyNumberFormat="1" applyFont="1" applyBorder="1" applyAlignment="1">
      <alignment horizontal="right" vertical="center" wrapText="1"/>
    </xf>
    <xf numFmtId="3" fontId="3" fillId="0" borderId="58" xfId="15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/>
    </xf>
    <xf numFmtId="3" fontId="6" fillId="3" borderId="45" xfId="15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/>
    </xf>
    <xf numFmtId="3" fontId="8" fillId="0" borderId="21" xfId="15" applyNumberFormat="1" applyFont="1" applyFill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vertical="top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 6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90" zoomScaleNormal="90" zoomScaleSheetLayoutView="90" workbookViewId="0" topLeftCell="A1">
      <pane xSplit="4" ySplit="7" topLeftCell="E3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11" sqref="B111"/>
    </sheetView>
  </sheetViews>
  <sheetFormatPr defaultColWidth="8.88671875" defaultRowHeight="18.75" outlineLevelRow="1" outlineLevelCol="1"/>
  <cols>
    <col min="1" max="1" width="4.88671875" style="0" customWidth="1"/>
    <col min="2" max="2" width="44.3359375" style="0" customWidth="1"/>
    <col min="3" max="3" width="15.77734375" style="0" hidden="1" customWidth="1"/>
    <col min="4" max="4" width="12.99609375" style="0" hidden="1" customWidth="1" outlineLevel="1"/>
    <col min="5" max="5" width="12.99609375" style="0" customWidth="1" collapsed="1"/>
    <col min="6" max="6" width="12.99609375" style="0" customWidth="1"/>
    <col min="7" max="7" width="12.6640625" style="0" customWidth="1"/>
    <col min="8" max="8" width="13.6640625" style="27" bestFit="1" customWidth="1"/>
    <col min="9" max="9" width="12.4453125" style="0" customWidth="1"/>
    <col min="10" max="10" width="11.5546875" style="0" customWidth="1"/>
    <col min="11" max="11" width="10.77734375" style="0" customWidth="1"/>
    <col min="12" max="12" width="10.3359375" style="0" customWidth="1"/>
    <col min="13" max="16" width="10.77734375" style="0" customWidth="1"/>
    <col min="17" max="19" width="10.10546875" style="0" customWidth="1"/>
    <col min="20" max="20" width="11.88671875" style="0" bestFit="1" customWidth="1"/>
  </cols>
  <sheetData>
    <row r="1" ht="18.75">
      <c r="P1" t="s">
        <v>150</v>
      </c>
    </row>
    <row r="2" ht="18.75">
      <c r="P2" t="s">
        <v>156</v>
      </c>
    </row>
    <row r="3" spans="1:16" ht="18.75">
      <c r="A3" s="407" t="s">
        <v>225</v>
      </c>
      <c r="B3" s="407"/>
      <c r="C3" s="407"/>
      <c r="D3" s="407"/>
      <c r="E3" s="407"/>
      <c r="F3" s="407"/>
      <c r="G3" s="407"/>
      <c r="H3" s="407"/>
      <c r="I3" s="407"/>
      <c r="J3" s="407"/>
      <c r="P3" t="s">
        <v>151</v>
      </c>
    </row>
    <row r="4" spans="1:16" ht="18.75">
      <c r="A4" s="1"/>
      <c r="B4" s="1"/>
      <c r="C4" s="1"/>
      <c r="D4" s="1"/>
      <c r="E4" s="1"/>
      <c r="F4" s="1"/>
      <c r="G4" s="1"/>
      <c r="H4" s="208"/>
      <c r="I4" s="1"/>
      <c r="J4" s="402"/>
      <c r="P4" t="s">
        <v>157</v>
      </c>
    </row>
    <row r="5" spans="1:16" ht="19.5" thickBot="1">
      <c r="A5" s="2"/>
      <c r="B5" s="2"/>
      <c r="C5" s="3"/>
      <c r="D5" s="2"/>
      <c r="E5" s="2"/>
      <c r="F5" s="2"/>
      <c r="G5" s="2"/>
      <c r="H5" s="209"/>
      <c r="J5" s="4"/>
      <c r="L5" s="4"/>
      <c r="M5" s="5"/>
      <c r="P5" s="4" t="s">
        <v>0</v>
      </c>
    </row>
    <row r="6" spans="1:20" s="6" customFormat="1" ht="25.5">
      <c r="A6" s="408" t="s">
        <v>1</v>
      </c>
      <c r="B6" s="410" t="s">
        <v>2</v>
      </c>
      <c r="C6" s="412" t="s">
        <v>3</v>
      </c>
      <c r="D6" s="234" t="s">
        <v>22</v>
      </c>
      <c r="E6" s="414" t="s">
        <v>22</v>
      </c>
      <c r="F6" s="415"/>
      <c r="G6" s="233" t="s">
        <v>161</v>
      </c>
      <c r="H6" s="217" t="s">
        <v>160</v>
      </c>
      <c r="I6" s="223"/>
      <c r="J6" s="98"/>
      <c r="K6" s="98"/>
      <c r="L6" s="98"/>
      <c r="M6" s="98" t="s">
        <v>4</v>
      </c>
      <c r="N6" s="98"/>
      <c r="O6" s="98"/>
      <c r="P6" s="98"/>
      <c r="Q6" s="98"/>
      <c r="R6" s="98"/>
      <c r="S6" s="172"/>
      <c r="T6" s="376"/>
    </row>
    <row r="7" spans="1:20" s="6" customFormat="1" ht="23.25" customHeight="1">
      <c r="A7" s="409"/>
      <c r="B7" s="411"/>
      <c r="C7" s="413"/>
      <c r="D7" s="61">
        <v>2008</v>
      </c>
      <c r="E7" s="175">
        <v>2009</v>
      </c>
      <c r="F7" s="175">
        <v>2010</v>
      </c>
      <c r="G7" s="61">
        <v>2011</v>
      </c>
      <c r="H7" s="403">
        <v>2011</v>
      </c>
      <c r="I7" s="219">
        <v>2012</v>
      </c>
      <c r="J7" s="7">
        <v>2013</v>
      </c>
      <c r="K7" s="8">
        <v>2014</v>
      </c>
      <c r="L7" s="61">
        <v>2015</v>
      </c>
      <c r="M7" s="175">
        <v>2016</v>
      </c>
      <c r="N7" s="61">
        <v>2017</v>
      </c>
      <c r="O7" s="8">
        <v>2018</v>
      </c>
      <c r="P7" s="8">
        <v>2019</v>
      </c>
      <c r="Q7" s="61">
        <v>2020</v>
      </c>
      <c r="R7" s="61">
        <v>2021</v>
      </c>
      <c r="S7" s="101">
        <v>2022</v>
      </c>
      <c r="T7" s="377">
        <v>2023</v>
      </c>
    </row>
    <row r="8" spans="1:20" s="6" customFormat="1" ht="15.75">
      <c r="A8" s="90">
        <v>1</v>
      </c>
      <c r="B8" s="72" t="s">
        <v>33</v>
      </c>
      <c r="C8" s="9">
        <f aca="true" t="shared" si="0" ref="C8:Q8">+C9+C15</f>
        <v>43900469</v>
      </c>
      <c r="D8" s="180">
        <f t="shared" si="0"/>
        <v>51523757.56</v>
      </c>
      <c r="E8" s="181">
        <f t="shared" si="0"/>
        <v>49833901.93</v>
      </c>
      <c r="F8" s="181">
        <f t="shared" si="0"/>
        <v>63871681.73</v>
      </c>
      <c r="G8" s="180">
        <f>+G9+G15</f>
        <v>59890792.4</v>
      </c>
      <c r="H8" s="210">
        <f t="shared" si="0"/>
        <v>59890792.4</v>
      </c>
      <c r="I8" s="236">
        <f t="shared" si="0"/>
        <v>60958021</v>
      </c>
      <c r="J8" s="10">
        <f t="shared" si="0"/>
        <v>63641825</v>
      </c>
      <c r="K8" s="33">
        <f t="shared" si="0"/>
        <v>65522602</v>
      </c>
      <c r="L8" s="10">
        <f t="shared" si="0"/>
        <v>67441822</v>
      </c>
      <c r="M8" s="33">
        <f t="shared" si="0"/>
        <v>63710077</v>
      </c>
      <c r="N8" s="10">
        <f t="shared" si="0"/>
        <v>65531379</v>
      </c>
      <c r="O8" s="10">
        <f t="shared" si="0"/>
        <v>67407320</v>
      </c>
      <c r="P8" s="33">
        <f t="shared" si="0"/>
        <v>69339540</v>
      </c>
      <c r="Q8" s="10">
        <f t="shared" si="0"/>
        <v>71329726</v>
      </c>
      <c r="R8" s="10">
        <f>+R9+R15</f>
        <v>73379618</v>
      </c>
      <c r="S8" s="53">
        <f>+S9+S15</f>
        <v>75491007</v>
      </c>
      <c r="T8" s="379">
        <f>+T9+T15</f>
        <v>77665737</v>
      </c>
    </row>
    <row r="9" spans="1:20" s="6" customFormat="1" ht="15">
      <c r="A9" s="91" t="s">
        <v>56</v>
      </c>
      <c r="B9" s="80" t="s">
        <v>146</v>
      </c>
      <c r="C9" s="11">
        <f>43900469-C15</f>
        <v>41573229</v>
      </c>
      <c r="D9" s="182">
        <f aca="true" t="shared" si="1" ref="D9:L9">SUM(D10:D13)</f>
        <v>46467281.4</v>
      </c>
      <c r="E9" s="183">
        <f t="shared" si="1"/>
        <v>47318707.22</v>
      </c>
      <c r="F9" s="183">
        <f t="shared" si="1"/>
        <v>62727857.86</v>
      </c>
      <c r="G9" s="182">
        <f>SUM(G10:G13)</f>
        <v>50706033.87</v>
      </c>
      <c r="H9" s="211">
        <f t="shared" si="1"/>
        <v>50706033.87</v>
      </c>
      <c r="I9" s="237">
        <f t="shared" si="1"/>
        <v>53952978</v>
      </c>
      <c r="J9" s="12">
        <f t="shared" si="1"/>
        <v>55141825</v>
      </c>
      <c r="K9" s="34">
        <f t="shared" si="1"/>
        <v>57022602</v>
      </c>
      <c r="L9" s="12">
        <f t="shared" si="1"/>
        <v>58941822</v>
      </c>
      <c r="M9" s="34">
        <f aca="true" t="shared" si="2" ref="M9:T9">ROUND(+L9*1.03,0)</f>
        <v>60710077</v>
      </c>
      <c r="N9" s="12">
        <f t="shared" si="2"/>
        <v>62531379</v>
      </c>
      <c r="O9" s="12">
        <f t="shared" si="2"/>
        <v>64407320</v>
      </c>
      <c r="P9" s="34">
        <f t="shared" si="2"/>
        <v>66339540</v>
      </c>
      <c r="Q9" s="12">
        <f t="shared" si="2"/>
        <v>68329726</v>
      </c>
      <c r="R9" s="12">
        <f t="shared" si="2"/>
        <v>70379618</v>
      </c>
      <c r="S9" s="54">
        <f t="shared" si="2"/>
        <v>72491007</v>
      </c>
      <c r="T9" s="380">
        <f t="shared" si="2"/>
        <v>74665737</v>
      </c>
    </row>
    <row r="10" spans="1:20" s="6" customFormat="1" ht="15" hidden="1" outlineLevel="1">
      <c r="A10" s="90"/>
      <c r="B10" s="73" t="s">
        <v>23</v>
      </c>
      <c r="C10" s="11"/>
      <c r="D10" s="182">
        <f>31603727-0.6</f>
        <v>31603726.4</v>
      </c>
      <c r="E10" s="183">
        <f>32052382+0.22</f>
        <v>32052382.22</v>
      </c>
      <c r="F10" s="182">
        <f>35200792.31-1143823.87</f>
        <v>34056968.440000005</v>
      </c>
      <c r="G10" s="182">
        <f>50706033.87-G11-G12-G13</f>
        <v>32973346.78999999</v>
      </c>
      <c r="H10" s="211">
        <f>+G10</f>
        <v>32973346.78999999</v>
      </c>
      <c r="I10" s="237">
        <f>53952978-I11-I12-I13</f>
        <v>36076921</v>
      </c>
      <c r="J10" s="12">
        <f aca="true" t="shared" si="3" ref="J10:Q10">ROUND(+I10*1.03,0)</f>
        <v>37159229</v>
      </c>
      <c r="K10" s="12">
        <f t="shared" si="3"/>
        <v>38274006</v>
      </c>
      <c r="L10" s="12">
        <f t="shared" si="3"/>
        <v>39422226</v>
      </c>
      <c r="M10" s="34">
        <f t="shared" si="3"/>
        <v>40604893</v>
      </c>
      <c r="N10" s="12">
        <f t="shared" si="3"/>
        <v>41823040</v>
      </c>
      <c r="O10" s="12">
        <f t="shared" si="3"/>
        <v>43077731</v>
      </c>
      <c r="P10" s="34">
        <f t="shared" si="3"/>
        <v>44370063</v>
      </c>
      <c r="Q10" s="12">
        <f t="shared" si="3"/>
        <v>45701165</v>
      </c>
      <c r="R10" s="12">
        <f>ROUND(+Q10*1.03,0)</f>
        <v>47072200</v>
      </c>
      <c r="S10" s="54">
        <f>ROUND(+R10*1.03,0)</f>
        <v>48484366</v>
      </c>
      <c r="T10" s="380">
        <f>ROUND(+S10*1.03,0)</f>
        <v>49938897</v>
      </c>
    </row>
    <row r="11" spans="1:20" s="6" customFormat="1" ht="15" hidden="1" outlineLevel="1">
      <c r="A11" s="90"/>
      <c r="B11" s="73" t="s">
        <v>24</v>
      </c>
      <c r="C11" s="11"/>
      <c r="D11" s="182">
        <v>9218042</v>
      </c>
      <c r="E11" s="183">
        <v>9596564</v>
      </c>
      <c r="F11" s="182">
        <v>10257526</v>
      </c>
      <c r="G11" s="182">
        <f>10654136+97463</f>
        <v>10751599</v>
      </c>
      <c r="H11" s="211">
        <f>+G11</f>
        <v>10751599</v>
      </c>
      <c r="I11" s="225">
        <v>11848296</v>
      </c>
      <c r="J11" s="12">
        <f>+I11+600000</f>
        <v>12448296</v>
      </c>
      <c r="K11" s="34">
        <f aca="true" t="shared" si="4" ref="K11:Q11">+J11+600000</f>
        <v>13048296</v>
      </c>
      <c r="L11" s="12">
        <f t="shared" si="4"/>
        <v>13648296</v>
      </c>
      <c r="M11" s="34">
        <f t="shared" si="4"/>
        <v>14248296</v>
      </c>
      <c r="N11" s="12">
        <f t="shared" si="4"/>
        <v>14848296</v>
      </c>
      <c r="O11" s="12">
        <f t="shared" si="4"/>
        <v>15448296</v>
      </c>
      <c r="P11" s="34">
        <f t="shared" si="4"/>
        <v>16048296</v>
      </c>
      <c r="Q11" s="12">
        <f t="shared" si="4"/>
        <v>16648296</v>
      </c>
      <c r="R11" s="12">
        <f>+Q11+600000</f>
        <v>17248296</v>
      </c>
      <c r="S11" s="54">
        <f>+R11+600000</f>
        <v>17848296</v>
      </c>
      <c r="T11" s="380">
        <f>+S11+600000</f>
        <v>18448296</v>
      </c>
    </row>
    <row r="12" spans="1:20" s="6" customFormat="1" ht="15" hidden="1" outlineLevel="1">
      <c r="A12" s="90"/>
      <c r="B12" s="73" t="s">
        <v>31</v>
      </c>
      <c r="C12" s="11"/>
      <c r="D12" s="182"/>
      <c r="E12" s="183"/>
      <c r="F12" s="182">
        <v>252292.16</v>
      </c>
      <c r="G12" s="182">
        <f>875404.57+153351.77</f>
        <v>1028756.34</v>
      </c>
      <c r="H12" s="211">
        <f>+G12</f>
        <v>1028756.34</v>
      </c>
      <c r="I12" s="225">
        <f>193519+34151+362935+64049</f>
        <v>654654</v>
      </c>
      <c r="J12" s="12"/>
      <c r="K12" s="34"/>
      <c r="L12" s="12"/>
      <c r="M12" s="34"/>
      <c r="N12" s="12"/>
      <c r="O12" s="12"/>
      <c r="P12" s="34"/>
      <c r="Q12" s="12"/>
      <c r="R12" s="12"/>
      <c r="S12" s="54"/>
      <c r="T12" s="380"/>
    </row>
    <row r="13" spans="1:20" s="6" customFormat="1" ht="15" hidden="1" outlineLevel="1">
      <c r="A13" s="90"/>
      <c r="B13" s="73" t="s">
        <v>30</v>
      </c>
      <c r="C13" s="11"/>
      <c r="D13" s="182">
        <f>126854+7341+4432469+2000+1023799+26860+2281+23909</f>
        <v>5645513</v>
      </c>
      <c r="E13" s="183">
        <v>5669761</v>
      </c>
      <c r="F13" s="182">
        <f>13675671.66+1500+4237298.61-252292.16+498893.15</f>
        <v>18161071.259999998</v>
      </c>
      <c r="G13" s="182">
        <f>4812417.01+1700+1138214.73</f>
        <v>5952331.74</v>
      </c>
      <c r="H13" s="183">
        <f>+G13</f>
        <v>5952331.74</v>
      </c>
      <c r="I13" s="225">
        <f>4366207+1006900</f>
        <v>5373107</v>
      </c>
      <c r="J13" s="12">
        <f>ROUND(+I13*1.03,-2)</f>
        <v>5534300</v>
      </c>
      <c r="K13" s="12">
        <f aca="true" t="shared" si="5" ref="K13:T13">ROUND(+J13*1.03,-2)</f>
        <v>5700300</v>
      </c>
      <c r="L13" s="12">
        <f t="shared" si="5"/>
        <v>5871300</v>
      </c>
      <c r="M13" s="12">
        <f t="shared" si="5"/>
        <v>6047400</v>
      </c>
      <c r="N13" s="12">
        <f t="shared" si="5"/>
        <v>6228800</v>
      </c>
      <c r="O13" s="12">
        <f t="shared" si="5"/>
        <v>6415700</v>
      </c>
      <c r="P13" s="12">
        <f t="shared" si="5"/>
        <v>6608200</v>
      </c>
      <c r="Q13" s="12">
        <f t="shared" si="5"/>
        <v>6806400</v>
      </c>
      <c r="R13" s="12">
        <f t="shared" si="5"/>
        <v>7010600</v>
      </c>
      <c r="S13" s="54">
        <f t="shared" si="5"/>
        <v>7220900</v>
      </c>
      <c r="T13" s="380">
        <f t="shared" si="5"/>
        <v>7437500</v>
      </c>
    </row>
    <row r="14" spans="1:20" s="256" customFormat="1" ht="15" collapsed="1">
      <c r="A14" s="247" t="s">
        <v>166</v>
      </c>
      <c r="B14" s="248" t="s">
        <v>167</v>
      </c>
      <c r="C14" s="249"/>
      <c r="D14" s="250"/>
      <c r="E14" s="251">
        <f>130066.2</f>
        <v>130066.2</v>
      </c>
      <c r="F14" s="250">
        <v>330369.05</v>
      </c>
      <c r="G14" s="250">
        <f>+H14</f>
        <v>975578.28</v>
      </c>
      <c r="H14" s="251">
        <v>975578.28</v>
      </c>
      <c r="I14" s="264">
        <v>556454</v>
      </c>
      <c r="J14" s="253">
        <v>51560</v>
      </c>
      <c r="K14" s="254"/>
      <c r="L14" s="253"/>
      <c r="M14" s="254"/>
      <c r="N14" s="253"/>
      <c r="O14" s="253"/>
      <c r="P14" s="254"/>
      <c r="Q14" s="253"/>
      <c r="R14" s="253"/>
      <c r="S14" s="255"/>
      <c r="T14" s="381"/>
    </row>
    <row r="15" spans="1:20" s="6" customFormat="1" ht="15">
      <c r="A15" s="91" t="s">
        <v>57</v>
      </c>
      <c r="B15" s="80" t="s">
        <v>17</v>
      </c>
      <c r="C15" s="11">
        <f>SUM(C16:C18)</f>
        <v>2327240</v>
      </c>
      <c r="D15" s="182">
        <f>SUM(D16:D18)</f>
        <v>5056476.16</v>
      </c>
      <c r="E15" s="183">
        <f aca="true" t="shared" si="6" ref="E15:L15">SUM(E16:E18)</f>
        <v>2515194.71</v>
      </c>
      <c r="F15" s="182">
        <v>1143823.87</v>
      </c>
      <c r="G15" s="182">
        <v>9184758.53</v>
      </c>
      <c r="H15" s="183">
        <f t="shared" si="6"/>
        <v>9184758.53</v>
      </c>
      <c r="I15" s="225">
        <f t="shared" si="6"/>
        <v>7005043</v>
      </c>
      <c r="J15" s="12">
        <f t="shared" si="6"/>
        <v>8500000</v>
      </c>
      <c r="K15" s="34">
        <f t="shared" si="6"/>
        <v>8500000</v>
      </c>
      <c r="L15" s="12">
        <f t="shared" si="6"/>
        <v>8500000</v>
      </c>
      <c r="M15" s="34">
        <f aca="true" t="shared" si="7" ref="M15:T15">SUM(M16:M18)</f>
        <v>3000000</v>
      </c>
      <c r="N15" s="12">
        <f t="shared" si="7"/>
        <v>3000000</v>
      </c>
      <c r="O15" s="12">
        <f t="shared" si="7"/>
        <v>3000000</v>
      </c>
      <c r="P15" s="34">
        <f t="shared" si="7"/>
        <v>3000000</v>
      </c>
      <c r="Q15" s="12">
        <f t="shared" si="7"/>
        <v>3000000</v>
      </c>
      <c r="R15" s="34">
        <f>SUM(R16:R18)</f>
        <v>3000000</v>
      </c>
      <c r="S15" s="54">
        <f>SUM(S16:S18)</f>
        <v>3000000</v>
      </c>
      <c r="T15" s="380">
        <f t="shared" si="7"/>
        <v>3000000</v>
      </c>
    </row>
    <row r="16" spans="1:20" s="6" customFormat="1" ht="15">
      <c r="A16" s="91" t="s">
        <v>58</v>
      </c>
      <c r="B16" s="74" t="s">
        <v>18</v>
      </c>
      <c r="C16" s="29">
        <v>1118005</v>
      </c>
      <c r="D16" s="185">
        <f>1201654-54482.31</f>
        <v>1147171.69</v>
      </c>
      <c r="E16" s="186">
        <f>1650195-13509.86</f>
        <v>1636685.14</v>
      </c>
      <c r="F16" s="185">
        <f>276189.1-23340.31</f>
        <v>252848.78999999998</v>
      </c>
      <c r="G16" s="185">
        <f>3150000+45000</f>
        <v>3195000</v>
      </c>
      <c r="H16" s="186">
        <f>+G16</f>
        <v>3195000</v>
      </c>
      <c r="I16" s="226">
        <v>2080000</v>
      </c>
      <c r="J16" s="30">
        <v>2000000</v>
      </c>
      <c r="K16" s="38">
        <v>2000000</v>
      </c>
      <c r="L16" s="30">
        <v>2000000</v>
      </c>
      <c r="M16" s="38">
        <v>2000000</v>
      </c>
      <c r="N16" s="30">
        <v>2000000</v>
      </c>
      <c r="O16" s="30">
        <v>2000000</v>
      </c>
      <c r="P16" s="38">
        <v>2000000</v>
      </c>
      <c r="Q16" s="30">
        <v>2000000</v>
      </c>
      <c r="R16" s="38">
        <v>2000000</v>
      </c>
      <c r="S16" s="55">
        <v>2000000</v>
      </c>
      <c r="T16" s="382">
        <v>2000000</v>
      </c>
    </row>
    <row r="17" spans="1:20" s="6" customFormat="1" ht="15" hidden="1" outlineLevel="1">
      <c r="A17" s="90"/>
      <c r="B17" s="73" t="s">
        <v>31</v>
      </c>
      <c r="C17" s="29"/>
      <c r="D17" s="185"/>
      <c r="E17" s="186"/>
      <c r="F17" s="186"/>
      <c r="G17" s="185">
        <f>4145124+12376</f>
        <v>4157500</v>
      </c>
      <c r="H17" s="186">
        <f>+G17</f>
        <v>4157500</v>
      </c>
      <c r="I17" s="226">
        <f>1117474+865663+324563+939021</f>
        <v>3246721</v>
      </c>
      <c r="J17" s="12">
        <v>5000000</v>
      </c>
      <c r="K17" s="12">
        <v>5000000</v>
      </c>
      <c r="L17" s="12">
        <v>5000000</v>
      </c>
      <c r="M17" s="38"/>
      <c r="N17" s="30"/>
      <c r="O17" s="30"/>
      <c r="P17" s="38"/>
      <c r="Q17" s="30"/>
      <c r="R17" s="30"/>
      <c r="S17" s="55"/>
      <c r="T17" s="382"/>
    </row>
    <row r="18" spans="1:20" s="6" customFormat="1" ht="15" hidden="1" outlineLevel="1">
      <c r="A18" s="90"/>
      <c r="B18" s="73" t="s">
        <v>165</v>
      </c>
      <c r="C18" s="29">
        <v>1209235</v>
      </c>
      <c r="D18" s="185">
        <f>3854822+0.16+54482.31</f>
        <v>3909304.47</v>
      </c>
      <c r="E18" s="186">
        <f>865000-0.29+13509.86</f>
        <v>878509.57</v>
      </c>
      <c r="F18" s="186">
        <f>ROUND(853196.45-F16,0)</f>
        <v>600348</v>
      </c>
      <c r="G18" s="185">
        <f>1035871+84240+592147.53+110000+10000</f>
        <v>1832258.53</v>
      </c>
      <c r="H18" s="186">
        <f>+G18</f>
        <v>1832258.53</v>
      </c>
      <c r="I18" s="226">
        <f>7005043-I16-I17</f>
        <v>1678322</v>
      </c>
      <c r="J18" s="30">
        <v>1500000</v>
      </c>
      <c r="K18" s="38">
        <v>1500000</v>
      </c>
      <c r="L18" s="30">
        <v>1500000</v>
      </c>
      <c r="M18" s="38">
        <v>1000000</v>
      </c>
      <c r="N18" s="30">
        <v>1000000</v>
      </c>
      <c r="O18" s="30">
        <v>1000000</v>
      </c>
      <c r="P18" s="38">
        <v>1000000</v>
      </c>
      <c r="Q18" s="30">
        <v>1000000</v>
      </c>
      <c r="R18" s="38">
        <v>1000000</v>
      </c>
      <c r="S18" s="55">
        <v>1000000</v>
      </c>
      <c r="T18" s="382">
        <v>1000000</v>
      </c>
    </row>
    <row r="19" spans="1:20" s="256" customFormat="1" ht="15" collapsed="1">
      <c r="A19" s="247" t="s">
        <v>168</v>
      </c>
      <c r="B19" s="248" t="s">
        <v>169</v>
      </c>
      <c r="C19" s="257"/>
      <c r="D19" s="258"/>
      <c r="E19" s="259"/>
      <c r="F19" s="259">
        <v>3400</v>
      </c>
      <c r="G19" s="258">
        <f>+H19</f>
        <v>4044950.29</v>
      </c>
      <c r="H19" s="259">
        <v>4044950.29</v>
      </c>
      <c r="I19" s="378">
        <v>3573803</v>
      </c>
      <c r="J19" s="260">
        <f aca="true" t="shared" si="8" ref="J19:O19">+J70/2</f>
        <v>1300000</v>
      </c>
      <c r="K19" s="260">
        <f t="shared" si="8"/>
        <v>1850000</v>
      </c>
      <c r="L19" s="260">
        <f t="shared" si="8"/>
        <v>140000</v>
      </c>
      <c r="M19" s="260">
        <f t="shared" si="8"/>
        <v>0</v>
      </c>
      <c r="N19" s="260">
        <f t="shared" si="8"/>
        <v>0</v>
      </c>
      <c r="O19" s="260">
        <f t="shared" si="8"/>
        <v>0</v>
      </c>
      <c r="P19" s="261"/>
      <c r="Q19" s="260"/>
      <c r="R19" s="260"/>
      <c r="S19" s="262"/>
      <c r="T19" s="383"/>
    </row>
    <row r="20" spans="1:20" s="25" customFormat="1" ht="15">
      <c r="A20" s="90">
        <v>2</v>
      </c>
      <c r="B20" s="72" t="s">
        <v>36</v>
      </c>
      <c r="C20" s="28">
        <f>SUM(C21:C25)</f>
        <v>35107957</v>
      </c>
      <c r="D20" s="188">
        <f>SUM(D21:D25)</f>
        <v>37297311</v>
      </c>
      <c r="E20" s="189">
        <f>SUM(E21:E25)</f>
        <v>41798752.79</v>
      </c>
      <c r="F20" s="189">
        <f>SUM(F21:F24,F26)</f>
        <v>53770662.150000006</v>
      </c>
      <c r="G20" s="188">
        <f>SUM(G21:G24,G26)</f>
        <v>48484772.4</v>
      </c>
      <c r="H20" s="189">
        <f>SUM(H21:H24,H26)</f>
        <v>48484772.4</v>
      </c>
      <c r="I20" s="405">
        <f>SUM(I21:I24,I26)</f>
        <v>49487828</v>
      </c>
      <c r="J20" s="235">
        <f>SUM(J21:J25)+130183</f>
        <v>50548301</v>
      </c>
      <c r="K20" s="235">
        <f aca="true" t="shared" si="9" ref="K20:S20">SUM(K21:K24,K26)</f>
        <v>47626906</v>
      </c>
      <c r="L20" s="235">
        <f t="shared" si="9"/>
        <v>48052675</v>
      </c>
      <c r="M20" s="235">
        <f t="shared" si="9"/>
        <v>48533202</v>
      </c>
      <c r="N20" s="235">
        <f t="shared" si="9"/>
        <v>50203097</v>
      </c>
      <c r="O20" s="235">
        <f t="shared" si="9"/>
        <v>51931644</v>
      </c>
      <c r="P20" s="235">
        <f t="shared" si="9"/>
        <v>53720946</v>
      </c>
      <c r="Q20" s="235">
        <f t="shared" si="9"/>
        <v>55573182</v>
      </c>
      <c r="R20" s="235">
        <f t="shared" si="9"/>
        <v>57490609</v>
      </c>
      <c r="S20" s="235">
        <f t="shared" si="9"/>
        <v>59475568</v>
      </c>
      <c r="T20" s="384">
        <f>SUM(T21:T25)</f>
        <v>61530485</v>
      </c>
    </row>
    <row r="21" spans="1:20" s="25" customFormat="1" ht="15">
      <c r="A21" s="91" t="s">
        <v>60</v>
      </c>
      <c r="B21" s="73" t="s">
        <v>59</v>
      </c>
      <c r="C21" s="11">
        <v>13342647</v>
      </c>
      <c r="D21" s="182">
        <v>14526520</v>
      </c>
      <c r="E21" s="183">
        <v>15807353</v>
      </c>
      <c r="F21" s="182">
        <v>17065956.82</v>
      </c>
      <c r="G21" s="182">
        <v>19454952.36</v>
      </c>
      <c r="H21" s="183">
        <f>+G21</f>
        <v>19454952.36</v>
      </c>
      <c r="I21" s="225">
        <v>20555240</v>
      </c>
      <c r="J21" s="12">
        <f>20760792</f>
        <v>20760792</v>
      </c>
      <c r="K21" s="12">
        <v>20968400</v>
      </c>
      <c r="L21" s="12">
        <f>ROUND(+K21*1.01,0)</f>
        <v>21178084</v>
      </c>
      <c r="M21" s="34">
        <f>ROUND(+L21*1.01,0)</f>
        <v>21389865</v>
      </c>
      <c r="N21" s="12">
        <f aca="true" t="shared" si="10" ref="N21:T21">ROUND(+M21*1.04,0)</f>
        <v>22245460</v>
      </c>
      <c r="O21" s="12">
        <f t="shared" si="10"/>
        <v>23135278</v>
      </c>
      <c r="P21" s="34">
        <f t="shared" si="10"/>
        <v>24060689</v>
      </c>
      <c r="Q21" s="12">
        <f t="shared" si="10"/>
        <v>25023117</v>
      </c>
      <c r="R21" s="12">
        <f t="shared" si="10"/>
        <v>26024042</v>
      </c>
      <c r="S21" s="54">
        <f t="shared" si="10"/>
        <v>27065004</v>
      </c>
      <c r="T21" s="380">
        <f t="shared" si="10"/>
        <v>28147604</v>
      </c>
    </row>
    <row r="22" spans="1:20" s="25" customFormat="1" ht="15">
      <c r="A22" s="91" t="s">
        <v>61</v>
      </c>
      <c r="B22" s="73" t="s">
        <v>62</v>
      </c>
      <c r="C22" s="11">
        <v>21765310</v>
      </c>
      <c r="D22" s="182">
        <f>48796682-26025891</f>
        <v>22770791</v>
      </c>
      <c r="E22" s="183">
        <f>53975682.79-27984283</f>
        <v>25991399.79</v>
      </c>
      <c r="F22" s="182">
        <f>36452413.17-112296.08</f>
        <v>36340117.09</v>
      </c>
      <c r="G22" s="182">
        <f>49571732.4-G21-G26-G51</f>
        <v>27800892.869999997</v>
      </c>
      <c r="H22" s="183">
        <f>+G22</f>
        <v>27800892.869999997</v>
      </c>
      <c r="I22" s="225">
        <f>61489771-I21-I26-I51-I68</f>
        <v>28257934</v>
      </c>
      <c r="J22" s="12">
        <f>ROUND(+I22*1.01,0)-4-100000</f>
        <v>28440509</v>
      </c>
      <c r="K22" s="12">
        <f>26608506+50000</f>
        <v>26658506</v>
      </c>
      <c r="L22" s="12">
        <v>26874591</v>
      </c>
      <c r="M22" s="34">
        <v>27143337</v>
      </c>
      <c r="N22" s="12">
        <f aca="true" t="shared" si="11" ref="N22:T22">ROUND(+M22*1.03,0)</f>
        <v>27957637</v>
      </c>
      <c r="O22" s="12">
        <f t="shared" si="11"/>
        <v>28796366</v>
      </c>
      <c r="P22" s="34">
        <f t="shared" si="11"/>
        <v>29660257</v>
      </c>
      <c r="Q22" s="12">
        <f t="shared" si="11"/>
        <v>30550065</v>
      </c>
      <c r="R22" s="12">
        <f t="shared" si="11"/>
        <v>31466567</v>
      </c>
      <c r="S22" s="54">
        <f t="shared" si="11"/>
        <v>32410564</v>
      </c>
      <c r="T22" s="380">
        <f t="shared" si="11"/>
        <v>33382881</v>
      </c>
    </row>
    <row r="23" spans="1:20" s="25" customFormat="1" ht="15">
      <c r="A23" s="91" t="s">
        <v>63</v>
      </c>
      <c r="B23" s="80" t="s">
        <v>64</v>
      </c>
      <c r="C23" s="11"/>
      <c r="D23" s="182"/>
      <c r="E23" s="183"/>
      <c r="F23" s="183"/>
      <c r="G23" s="183"/>
      <c r="H23" s="183"/>
      <c r="I23" s="225"/>
      <c r="J23" s="12"/>
      <c r="K23" s="34"/>
      <c r="L23" s="12"/>
      <c r="M23" s="34"/>
      <c r="N23" s="12"/>
      <c r="O23" s="12"/>
      <c r="P23" s="34"/>
      <c r="Q23" s="12"/>
      <c r="R23" s="12"/>
      <c r="S23" s="54"/>
      <c r="T23" s="380"/>
    </row>
    <row r="24" spans="1:20" s="25" customFormat="1" ht="25.5">
      <c r="A24" s="91" t="s">
        <v>65</v>
      </c>
      <c r="B24" s="80" t="s">
        <v>66</v>
      </c>
      <c r="C24" s="11"/>
      <c r="D24" s="182"/>
      <c r="E24" s="183"/>
      <c r="F24" s="182"/>
      <c r="G24" s="183"/>
      <c r="H24" s="183"/>
      <c r="I24" s="225"/>
      <c r="J24" s="12"/>
      <c r="K24" s="34"/>
      <c r="L24" s="12"/>
      <c r="M24" s="34"/>
      <c r="N24" s="12"/>
      <c r="O24" s="12"/>
      <c r="P24" s="34"/>
      <c r="Q24" s="12"/>
      <c r="R24" s="12"/>
      <c r="S24" s="54"/>
      <c r="T24" s="380"/>
    </row>
    <row r="25" spans="1:20" s="25" customFormat="1" ht="15">
      <c r="A25" s="91" t="s">
        <v>68</v>
      </c>
      <c r="B25" s="80" t="s">
        <v>67</v>
      </c>
      <c r="C25" s="11"/>
      <c r="D25" s="182"/>
      <c r="E25" s="183"/>
      <c r="F25" s="182"/>
      <c r="G25" s="183">
        <v>2040050</v>
      </c>
      <c r="H25" s="183">
        <f>+G25</f>
        <v>2040050</v>
      </c>
      <c r="I25" s="225">
        <f>+'wykaz przedsięwzięć'!J13</f>
        <v>1839911</v>
      </c>
      <c r="J25" s="39">
        <f>+'wykaz przedsięwzięć'!K13</f>
        <v>1216817</v>
      </c>
      <c r="K25" s="39">
        <f>+'wykaz przedsięwzięć'!L13</f>
        <v>0</v>
      </c>
      <c r="L25" s="39">
        <f>+'wykaz przedsięwzięć'!M13</f>
        <v>0</v>
      </c>
      <c r="M25" s="39">
        <f>+'wykaz przedsięwzięć'!N13</f>
        <v>0</v>
      </c>
      <c r="N25" s="39"/>
      <c r="O25" s="12"/>
      <c r="P25" s="34"/>
      <c r="Q25" s="12"/>
      <c r="R25" s="12"/>
      <c r="S25" s="54"/>
      <c r="T25" s="380"/>
    </row>
    <row r="26" spans="1:20" s="263" customFormat="1" ht="25.5">
      <c r="A26" s="247" t="s">
        <v>170</v>
      </c>
      <c r="B26" s="248" t="s">
        <v>171</v>
      </c>
      <c r="C26" s="249"/>
      <c r="D26" s="250"/>
      <c r="E26" s="251">
        <v>153019.06</v>
      </c>
      <c r="F26" s="250">
        <v>364588.24</v>
      </c>
      <c r="G26" s="251">
        <v>1228927.17</v>
      </c>
      <c r="H26" s="251">
        <f>+G26</f>
        <v>1228927.17</v>
      </c>
      <c r="I26" s="264">
        <f>+'wykaz przedsięwzięć'!J15</f>
        <v>674654</v>
      </c>
      <c r="J26" s="253">
        <f>+'wykaz przedsięwzięć'!K15</f>
        <v>51560</v>
      </c>
      <c r="K26" s="253">
        <f>+'wykaz przedsięwzięć'!L15</f>
        <v>0</v>
      </c>
      <c r="L26" s="253">
        <f>+'wykaz przedsięwzięć'!M15</f>
        <v>0</v>
      </c>
      <c r="M26" s="253">
        <f>+'wykaz przedsięwzięć'!N15</f>
        <v>0</v>
      </c>
      <c r="N26" s="253"/>
      <c r="O26" s="253"/>
      <c r="P26" s="254"/>
      <c r="Q26" s="253"/>
      <c r="R26" s="253"/>
      <c r="S26" s="255"/>
      <c r="T26" s="381"/>
    </row>
    <row r="27" spans="1:20" s="65" customFormat="1" ht="18.75">
      <c r="A27" s="107">
        <v>3</v>
      </c>
      <c r="B27" s="75" t="s">
        <v>69</v>
      </c>
      <c r="C27" s="67">
        <f aca="true" t="shared" si="12" ref="C27:Q27">+C8-C20</f>
        <v>8792512</v>
      </c>
      <c r="D27" s="190">
        <f t="shared" si="12"/>
        <v>14226446.560000002</v>
      </c>
      <c r="E27" s="190">
        <f t="shared" si="12"/>
        <v>8035149.140000001</v>
      </c>
      <c r="F27" s="190">
        <f t="shared" si="12"/>
        <v>10101019.57999999</v>
      </c>
      <c r="G27" s="220">
        <f t="shared" si="12"/>
        <v>11406020</v>
      </c>
      <c r="H27" s="220">
        <f t="shared" si="12"/>
        <v>11406020</v>
      </c>
      <c r="I27" s="406">
        <f t="shared" si="12"/>
        <v>11470193</v>
      </c>
      <c r="J27" s="67">
        <f t="shared" si="12"/>
        <v>13093524</v>
      </c>
      <c r="K27" s="116">
        <f t="shared" si="12"/>
        <v>17895696</v>
      </c>
      <c r="L27" s="67">
        <f t="shared" si="12"/>
        <v>19389147</v>
      </c>
      <c r="M27" s="116">
        <f t="shared" si="12"/>
        <v>15176875</v>
      </c>
      <c r="N27" s="67">
        <f t="shared" si="12"/>
        <v>15328282</v>
      </c>
      <c r="O27" s="67">
        <f t="shared" si="12"/>
        <v>15475676</v>
      </c>
      <c r="P27" s="116">
        <f t="shared" si="12"/>
        <v>15618594</v>
      </c>
      <c r="Q27" s="67">
        <f t="shared" si="12"/>
        <v>15756544</v>
      </c>
      <c r="R27" s="67">
        <f>+R8-R20</f>
        <v>15889009</v>
      </c>
      <c r="S27" s="102">
        <f>+S8-S20</f>
        <v>16015439</v>
      </c>
      <c r="T27" s="385">
        <f>+T8-T20</f>
        <v>16135252</v>
      </c>
    </row>
    <row r="28" spans="1:20" s="65" customFormat="1" ht="38.25">
      <c r="A28" s="108">
        <v>4</v>
      </c>
      <c r="B28" s="76" t="s">
        <v>175</v>
      </c>
      <c r="C28" s="67">
        <f>+C29</f>
        <v>0</v>
      </c>
      <c r="D28" s="190">
        <f aca="true" t="shared" si="13" ref="D28:T28">+D29</f>
        <v>1042052</v>
      </c>
      <c r="E28" s="190">
        <f t="shared" si="13"/>
        <v>5917962</v>
      </c>
      <c r="F28" s="190">
        <f t="shared" si="13"/>
        <v>1056185.12</v>
      </c>
      <c r="G28" s="220">
        <f t="shared" si="13"/>
        <v>2384074</v>
      </c>
      <c r="H28" s="220">
        <f t="shared" si="13"/>
        <v>2384074</v>
      </c>
      <c r="I28" s="406">
        <f t="shared" si="13"/>
        <v>0</v>
      </c>
      <c r="J28" s="67">
        <f t="shared" si="13"/>
        <v>0</v>
      </c>
      <c r="K28" s="116">
        <f t="shared" si="13"/>
        <v>0</v>
      </c>
      <c r="L28" s="67">
        <f t="shared" si="13"/>
        <v>0</v>
      </c>
      <c r="M28" s="116">
        <f t="shared" si="13"/>
        <v>0</v>
      </c>
      <c r="N28" s="67">
        <f t="shared" si="13"/>
        <v>0</v>
      </c>
      <c r="O28" s="67">
        <f t="shared" si="13"/>
        <v>0</v>
      </c>
      <c r="P28" s="116">
        <f t="shared" si="13"/>
        <v>0</v>
      </c>
      <c r="Q28" s="67">
        <f t="shared" si="13"/>
        <v>0</v>
      </c>
      <c r="R28" s="67">
        <f t="shared" si="13"/>
        <v>0</v>
      </c>
      <c r="S28" s="102">
        <f t="shared" si="13"/>
        <v>0</v>
      </c>
      <c r="T28" s="385">
        <f t="shared" si="13"/>
        <v>0</v>
      </c>
    </row>
    <row r="29" spans="1:20" s="65" customFormat="1" ht="18.75">
      <c r="A29" s="109" t="s">
        <v>70</v>
      </c>
      <c r="B29" s="77" t="s">
        <v>163</v>
      </c>
      <c r="C29" s="11"/>
      <c r="D29" s="182">
        <v>1042052</v>
      </c>
      <c r="E29" s="183">
        <v>5917962</v>
      </c>
      <c r="F29" s="182">
        <v>1056185.12</v>
      </c>
      <c r="G29" s="183">
        <v>2384074</v>
      </c>
      <c r="H29" s="404">
        <f>289574+2094500</f>
        <v>2384074</v>
      </c>
      <c r="I29" s="227"/>
      <c r="J29" s="171"/>
      <c r="K29" s="171"/>
      <c r="L29" s="171"/>
      <c r="M29" s="176"/>
      <c r="N29" s="68"/>
      <c r="O29" s="68"/>
      <c r="P29" s="69"/>
      <c r="Q29" s="68"/>
      <c r="R29" s="68"/>
      <c r="S29" s="110"/>
      <c r="T29" s="386"/>
    </row>
    <row r="30" spans="1:20" s="65" customFormat="1" ht="18.75">
      <c r="A30" s="107">
        <v>5</v>
      </c>
      <c r="B30" s="76" t="s">
        <v>37</v>
      </c>
      <c r="C30" s="11"/>
      <c r="D30" s="182"/>
      <c r="E30" s="183"/>
      <c r="F30" s="182"/>
      <c r="G30" s="183"/>
      <c r="H30" s="404"/>
      <c r="I30" s="227"/>
      <c r="J30" s="68"/>
      <c r="K30" s="69"/>
      <c r="L30" s="68"/>
      <c r="M30" s="69"/>
      <c r="N30" s="68"/>
      <c r="O30" s="68"/>
      <c r="P30" s="69"/>
      <c r="Q30" s="68"/>
      <c r="R30" s="68"/>
      <c r="S30" s="110"/>
      <c r="T30" s="386"/>
    </row>
    <row r="31" spans="1:20" s="65" customFormat="1" ht="18.75">
      <c r="A31" s="367" t="s">
        <v>176</v>
      </c>
      <c r="B31" s="266" t="s">
        <v>163</v>
      </c>
      <c r="C31" s="11"/>
      <c r="D31" s="182"/>
      <c r="E31" s="183"/>
      <c r="F31" s="182"/>
      <c r="G31" s="183"/>
      <c r="H31" s="404"/>
      <c r="I31" s="227"/>
      <c r="J31" s="68"/>
      <c r="K31" s="69"/>
      <c r="L31" s="68"/>
      <c r="M31" s="69"/>
      <c r="N31" s="68"/>
      <c r="O31" s="68"/>
      <c r="P31" s="69"/>
      <c r="Q31" s="68"/>
      <c r="R31" s="68"/>
      <c r="S31" s="110"/>
      <c r="T31" s="386"/>
    </row>
    <row r="32" spans="1:20" s="65" customFormat="1" ht="18.75">
      <c r="A32" s="107">
        <v>6</v>
      </c>
      <c r="B32" s="76" t="s">
        <v>38</v>
      </c>
      <c r="C32" s="10">
        <f>+C27+C28+C30</f>
        <v>8792512</v>
      </c>
      <c r="D32" s="180">
        <f aca="true" t="shared" si="14" ref="D32:Q32">+D27+D28+D30</f>
        <v>15268498.560000002</v>
      </c>
      <c r="E32" s="180">
        <f t="shared" si="14"/>
        <v>13953111.14</v>
      </c>
      <c r="F32" s="180">
        <f t="shared" si="14"/>
        <v>11157204.699999992</v>
      </c>
      <c r="G32" s="181">
        <f t="shared" si="14"/>
        <v>13790094</v>
      </c>
      <c r="H32" s="222">
        <f t="shared" si="14"/>
        <v>13790094</v>
      </c>
      <c r="I32" s="224">
        <f t="shared" si="14"/>
        <v>11470193</v>
      </c>
      <c r="J32" s="10">
        <f t="shared" si="14"/>
        <v>13093524</v>
      </c>
      <c r="K32" s="33">
        <f t="shared" si="14"/>
        <v>17895696</v>
      </c>
      <c r="L32" s="10">
        <f t="shared" si="14"/>
        <v>19389147</v>
      </c>
      <c r="M32" s="33">
        <f t="shared" si="14"/>
        <v>15176875</v>
      </c>
      <c r="N32" s="10">
        <f t="shared" si="14"/>
        <v>15328282</v>
      </c>
      <c r="O32" s="10">
        <f t="shared" si="14"/>
        <v>15475676</v>
      </c>
      <c r="P32" s="33">
        <f t="shared" si="14"/>
        <v>15618594</v>
      </c>
      <c r="Q32" s="10">
        <f t="shared" si="14"/>
        <v>15756544</v>
      </c>
      <c r="R32" s="10">
        <f>+R27+R28+R30</f>
        <v>15889009</v>
      </c>
      <c r="S32" s="53">
        <f>+S27+S28+S30</f>
        <v>16015439</v>
      </c>
      <c r="T32" s="379">
        <f>+T27+T28+T30</f>
        <v>16135252</v>
      </c>
    </row>
    <row r="33" spans="1:20" s="65" customFormat="1" ht="18.75">
      <c r="A33" s="107">
        <v>7</v>
      </c>
      <c r="B33" s="76" t="s">
        <v>39</v>
      </c>
      <c r="C33" s="10">
        <f>+C34+C51</f>
        <v>1732600</v>
      </c>
      <c r="D33" s="180">
        <f aca="true" t="shared" si="15" ref="D33:Q33">+D34+D51</f>
        <v>3316542.77</v>
      </c>
      <c r="E33" s="180">
        <f t="shared" si="15"/>
        <v>3127213.64</v>
      </c>
      <c r="F33" s="180">
        <f t="shared" si="15"/>
        <v>3633234.52</v>
      </c>
      <c r="G33" s="181">
        <f>+G34+G51</f>
        <v>4563860</v>
      </c>
      <c r="H33" s="222">
        <f t="shared" si="15"/>
        <v>4563860</v>
      </c>
      <c r="I33" s="224">
        <f t="shared" si="15"/>
        <v>5735240</v>
      </c>
      <c r="J33" s="10">
        <f t="shared" si="15"/>
        <v>5485101.336</v>
      </c>
      <c r="K33" s="33">
        <f t="shared" si="15"/>
        <v>4068609</v>
      </c>
      <c r="L33" s="10">
        <f t="shared" si="15"/>
        <v>3832105</v>
      </c>
      <c r="M33" s="33">
        <f t="shared" si="15"/>
        <v>1960601</v>
      </c>
      <c r="N33" s="10">
        <f t="shared" si="15"/>
        <v>834098</v>
      </c>
      <c r="O33" s="10">
        <f t="shared" si="15"/>
        <v>337594</v>
      </c>
      <c r="P33" s="33">
        <f t="shared" si="15"/>
        <v>324090</v>
      </c>
      <c r="Q33" s="10">
        <f t="shared" si="15"/>
        <v>310586</v>
      </c>
      <c r="R33" s="10">
        <f>+R34+R51</f>
        <v>297083</v>
      </c>
      <c r="S33" s="53">
        <f>+S34+S51</f>
        <v>283579</v>
      </c>
      <c r="T33" s="379">
        <f>+T34+T51</f>
        <v>0</v>
      </c>
    </row>
    <row r="34" spans="1:20" s="65" customFormat="1" ht="25.5">
      <c r="A34" s="109" t="s">
        <v>71</v>
      </c>
      <c r="B34" s="77" t="s">
        <v>73</v>
      </c>
      <c r="C34" s="10">
        <f>SUM(C36:C50)</f>
        <v>1545000</v>
      </c>
      <c r="D34" s="180">
        <f>SUM(D36:D50)</f>
        <v>2850000</v>
      </c>
      <c r="E34" s="180">
        <f>+E36+E49+E50</f>
        <v>2599996</v>
      </c>
      <c r="F34" s="180">
        <f aca="true" t="shared" si="16" ref="F34:Q34">+F36+F49+F50</f>
        <v>3231996</v>
      </c>
      <c r="G34" s="181">
        <f t="shared" si="16"/>
        <v>3476900</v>
      </c>
      <c r="H34" s="222">
        <f t="shared" si="16"/>
        <v>3476900</v>
      </c>
      <c r="I34" s="224">
        <f t="shared" si="16"/>
        <v>4469000</v>
      </c>
      <c r="J34" s="10">
        <f t="shared" si="16"/>
        <v>4575083</v>
      </c>
      <c r="K34" s="33">
        <f t="shared" si="16"/>
        <v>3355075</v>
      </c>
      <c r="L34" s="10">
        <f t="shared" si="16"/>
        <v>3355075</v>
      </c>
      <c r="M34" s="33">
        <f t="shared" si="16"/>
        <v>1730075</v>
      </c>
      <c r="N34" s="10">
        <f t="shared" si="16"/>
        <v>730075</v>
      </c>
      <c r="O34" s="10">
        <f t="shared" si="16"/>
        <v>270075</v>
      </c>
      <c r="P34" s="33">
        <f t="shared" si="16"/>
        <v>270075</v>
      </c>
      <c r="Q34" s="10">
        <f t="shared" si="16"/>
        <v>270075</v>
      </c>
      <c r="R34" s="10">
        <f>+R36+R49+R50</f>
        <v>270075</v>
      </c>
      <c r="S34" s="53">
        <f>+S36+S49+S50</f>
        <v>270075</v>
      </c>
      <c r="T34" s="379">
        <f>+T36+T49+T50</f>
        <v>0</v>
      </c>
    </row>
    <row r="35" spans="1:20" s="65" customFormat="1" ht="25.5">
      <c r="A35" s="368" t="s">
        <v>74</v>
      </c>
      <c r="B35" s="267" t="s">
        <v>177</v>
      </c>
      <c r="C35" s="10"/>
      <c r="D35" s="180"/>
      <c r="E35" s="181"/>
      <c r="F35" s="180"/>
      <c r="G35" s="181"/>
      <c r="H35" s="222"/>
      <c r="I35" s="224"/>
      <c r="J35" s="10"/>
      <c r="K35" s="33"/>
      <c r="L35" s="10"/>
      <c r="M35" s="33"/>
      <c r="N35" s="10"/>
      <c r="O35" s="10"/>
      <c r="P35" s="33"/>
      <c r="Q35" s="10"/>
      <c r="R35" s="10"/>
      <c r="S35" s="53"/>
      <c r="T35" s="379"/>
    </row>
    <row r="36" spans="1:20" s="13" customFormat="1" ht="15" hidden="1" outlineLevel="1">
      <c r="A36" s="91" t="s">
        <v>74</v>
      </c>
      <c r="B36" s="73" t="s">
        <v>41</v>
      </c>
      <c r="C36" s="11">
        <v>920000</v>
      </c>
      <c r="D36" s="182">
        <f>600000+1000000</f>
        <v>1600000</v>
      </c>
      <c r="E36" s="183">
        <v>2599996</v>
      </c>
      <c r="F36" s="182">
        <f aca="true" t="shared" si="17" ref="F36:L36">SUM(F37:F47)</f>
        <v>3231996</v>
      </c>
      <c r="G36" s="183">
        <f>SUM(G37:G47)</f>
        <v>2851900</v>
      </c>
      <c r="H36" s="184">
        <f t="shared" si="17"/>
        <v>2851900</v>
      </c>
      <c r="I36" s="225">
        <f t="shared" si="17"/>
        <v>3844000</v>
      </c>
      <c r="J36" s="12">
        <f t="shared" si="17"/>
        <v>3950083</v>
      </c>
      <c r="K36" s="34">
        <f t="shared" si="17"/>
        <v>2730075</v>
      </c>
      <c r="L36" s="12">
        <f t="shared" si="17"/>
        <v>2730075</v>
      </c>
      <c r="M36" s="34">
        <f aca="true" t="shared" si="18" ref="M36:T36">SUM(M37:M47)</f>
        <v>1730075</v>
      </c>
      <c r="N36" s="12">
        <f t="shared" si="18"/>
        <v>730075</v>
      </c>
      <c r="O36" s="12">
        <f t="shared" si="18"/>
        <v>270075</v>
      </c>
      <c r="P36" s="34">
        <f t="shared" si="18"/>
        <v>270075</v>
      </c>
      <c r="Q36" s="12">
        <f t="shared" si="18"/>
        <v>270075</v>
      </c>
      <c r="R36" s="12">
        <f t="shared" si="18"/>
        <v>270075</v>
      </c>
      <c r="S36" s="54">
        <f t="shared" si="18"/>
        <v>270075</v>
      </c>
      <c r="T36" s="380">
        <f t="shared" si="18"/>
        <v>0</v>
      </c>
    </row>
    <row r="37" spans="1:21" s="13" customFormat="1" ht="15" hidden="1" outlineLevel="1">
      <c r="A37" s="92"/>
      <c r="B37" s="78" t="s">
        <v>7</v>
      </c>
      <c r="C37" s="14"/>
      <c r="D37" s="191"/>
      <c r="E37" s="192">
        <f>1000000-0.04</f>
        <v>999999.96</v>
      </c>
      <c r="F37" s="182">
        <f>1000000-0</f>
        <v>1000000</v>
      </c>
      <c r="G37" s="212"/>
      <c r="H37" s="239"/>
      <c r="I37" s="228"/>
      <c r="J37" s="15"/>
      <c r="K37" s="35"/>
      <c r="L37" s="15"/>
      <c r="M37" s="35"/>
      <c r="N37" s="15"/>
      <c r="O37" s="15"/>
      <c r="P37" s="35"/>
      <c r="Q37" s="15"/>
      <c r="R37" s="15"/>
      <c r="S37" s="50"/>
      <c r="T37" s="387"/>
      <c r="U37" s="150">
        <f aca="true" t="shared" si="19" ref="U37:U42">SUM(G37:T37)</f>
        <v>0</v>
      </c>
    </row>
    <row r="38" spans="1:21" s="13" customFormat="1" ht="15" hidden="1" outlineLevel="1">
      <c r="A38" s="92"/>
      <c r="B38" s="62" t="s">
        <v>8</v>
      </c>
      <c r="C38" s="16"/>
      <c r="D38" s="193"/>
      <c r="E38" s="194">
        <v>600000</v>
      </c>
      <c r="F38" s="182">
        <v>600000</v>
      </c>
      <c r="G38" s="213"/>
      <c r="H38" s="240"/>
      <c r="I38" s="229"/>
      <c r="J38" s="17"/>
      <c r="K38" s="36"/>
      <c r="L38" s="17"/>
      <c r="M38" s="36"/>
      <c r="N38" s="17"/>
      <c r="O38" s="17"/>
      <c r="P38" s="36"/>
      <c r="Q38" s="17"/>
      <c r="R38" s="17"/>
      <c r="S38" s="51"/>
      <c r="T38" s="388"/>
      <c r="U38" s="150">
        <f t="shared" si="19"/>
        <v>0</v>
      </c>
    </row>
    <row r="39" spans="1:21" s="13" customFormat="1" ht="15" hidden="1" outlineLevel="1">
      <c r="A39" s="92"/>
      <c r="B39" s="62" t="s">
        <v>9</v>
      </c>
      <c r="C39" s="16"/>
      <c r="D39" s="193"/>
      <c r="E39" s="194">
        <f>1000000-4</f>
        <v>999996</v>
      </c>
      <c r="F39" s="182">
        <f>1000000-4</f>
        <v>999996</v>
      </c>
      <c r="G39" s="213">
        <v>1000000</v>
      </c>
      <c r="H39" s="240">
        <v>1000000</v>
      </c>
      <c r="I39" s="229">
        <v>1000000</v>
      </c>
      <c r="J39" s="17">
        <f>1000000+4+4</f>
        <v>1000008</v>
      </c>
      <c r="K39" s="36"/>
      <c r="L39" s="17"/>
      <c r="M39" s="36"/>
      <c r="N39" s="17"/>
      <c r="O39" s="17"/>
      <c r="P39" s="36"/>
      <c r="Q39" s="17"/>
      <c r="R39" s="17"/>
      <c r="S39" s="51"/>
      <c r="T39" s="388"/>
      <c r="U39" s="150">
        <f>SUM(E39,G39:T39)</f>
        <v>5000004</v>
      </c>
    </row>
    <row r="40" spans="1:21" s="13" customFormat="1" ht="15" hidden="1" outlineLevel="1">
      <c r="A40" s="92"/>
      <c r="B40" s="56" t="s">
        <v>148</v>
      </c>
      <c r="C40" s="56"/>
      <c r="D40" s="195"/>
      <c r="E40" s="196"/>
      <c r="F40" s="197"/>
      <c r="G40" s="213">
        <f>+F74/5</f>
        <v>1000000</v>
      </c>
      <c r="H40" s="240">
        <f>+G74/5</f>
        <v>1000000</v>
      </c>
      <c r="I40" s="229">
        <f>+H40</f>
        <v>1000000</v>
      </c>
      <c r="J40" s="17">
        <f>+I40</f>
        <v>1000000</v>
      </c>
      <c r="K40" s="36">
        <f>+J40</f>
        <v>1000000</v>
      </c>
      <c r="L40" s="17">
        <f>+K40</f>
        <v>1000000</v>
      </c>
      <c r="M40" s="36"/>
      <c r="N40" s="17"/>
      <c r="O40" s="17"/>
      <c r="P40" s="36"/>
      <c r="Q40" s="17"/>
      <c r="R40" s="17"/>
      <c r="S40" s="51"/>
      <c r="T40" s="388"/>
      <c r="U40" s="150">
        <f t="shared" si="19"/>
        <v>6000000</v>
      </c>
    </row>
    <row r="41" spans="1:21" s="13" customFormat="1" ht="15" hidden="1" outlineLevel="1">
      <c r="A41" s="92"/>
      <c r="B41" s="56" t="s">
        <v>19</v>
      </c>
      <c r="C41" s="56"/>
      <c r="D41" s="195"/>
      <c r="E41" s="196"/>
      <c r="F41" s="197"/>
      <c r="G41" s="213"/>
      <c r="H41" s="240"/>
      <c r="I41" s="229">
        <f>+H74/5</f>
        <v>1000000</v>
      </c>
      <c r="J41" s="17">
        <f>+I41</f>
        <v>1000000</v>
      </c>
      <c r="K41" s="36">
        <f>+J41</f>
        <v>1000000</v>
      </c>
      <c r="L41" s="17">
        <f>+K41</f>
        <v>1000000</v>
      </c>
      <c r="M41" s="36">
        <f>+L41</f>
        <v>1000000</v>
      </c>
      <c r="N41" s="17"/>
      <c r="O41" s="40"/>
      <c r="P41" s="245"/>
      <c r="Q41" s="17"/>
      <c r="R41" s="17"/>
      <c r="S41" s="51"/>
      <c r="T41" s="388"/>
      <c r="U41" s="150">
        <f t="shared" si="19"/>
        <v>5000000</v>
      </c>
    </row>
    <row r="42" spans="1:21" s="13" customFormat="1" ht="15" hidden="1" outlineLevel="1">
      <c r="A42" s="92"/>
      <c r="B42" s="56" t="s">
        <v>20</v>
      </c>
      <c r="C42" s="56"/>
      <c r="D42" s="195"/>
      <c r="E42" s="196"/>
      <c r="F42" s="197"/>
      <c r="G42" s="213"/>
      <c r="H42" s="240"/>
      <c r="I42" s="229"/>
      <c r="J42" s="17">
        <f>ROUND(+I74/5,0)</f>
        <v>460000</v>
      </c>
      <c r="K42" s="36">
        <f>+J42</f>
        <v>460000</v>
      </c>
      <c r="L42" s="17">
        <f>+K42</f>
        <v>460000</v>
      </c>
      <c r="M42" s="36">
        <f>+L42</f>
        <v>460000</v>
      </c>
      <c r="N42" s="17">
        <f>+M42</f>
        <v>460000</v>
      </c>
      <c r="O42" s="40"/>
      <c r="P42" s="245"/>
      <c r="Q42" s="17"/>
      <c r="R42" s="17"/>
      <c r="S42" s="51"/>
      <c r="T42" s="388"/>
      <c r="U42" s="150">
        <f t="shared" si="19"/>
        <v>2300000</v>
      </c>
    </row>
    <row r="43" spans="1:21" s="13" customFormat="1" ht="15" hidden="1" outlineLevel="1">
      <c r="A43" s="92"/>
      <c r="B43" s="56" t="s">
        <v>21</v>
      </c>
      <c r="C43" s="56"/>
      <c r="D43" s="195"/>
      <c r="E43" s="196"/>
      <c r="F43" s="197"/>
      <c r="G43" s="213"/>
      <c r="H43" s="240"/>
      <c r="I43" s="229"/>
      <c r="J43" s="17"/>
      <c r="K43" s="36"/>
      <c r="L43" s="17"/>
      <c r="M43" s="36"/>
      <c r="N43" s="17"/>
      <c r="O43" s="17"/>
      <c r="P43" s="36"/>
      <c r="Q43" s="17"/>
      <c r="R43" s="17"/>
      <c r="S43" s="51"/>
      <c r="T43" s="388"/>
      <c r="U43" s="150">
        <f aca="true" t="shared" si="20" ref="U43:U49">SUM(G43:T43)</f>
        <v>0</v>
      </c>
    </row>
    <row r="44" spans="1:21" s="13" customFormat="1" ht="15" hidden="1" outlineLevel="1">
      <c r="A44" s="92"/>
      <c r="B44" s="56"/>
      <c r="C44" s="56"/>
      <c r="D44" s="195"/>
      <c r="E44" s="196"/>
      <c r="F44" s="197"/>
      <c r="G44" s="213"/>
      <c r="H44" s="240"/>
      <c r="I44" s="229"/>
      <c r="J44" s="17"/>
      <c r="K44" s="36"/>
      <c r="L44" s="36"/>
      <c r="M44" s="36"/>
      <c r="N44" s="36"/>
      <c r="O44" s="36"/>
      <c r="P44" s="36"/>
      <c r="Q44" s="17"/>
      <c r="R44" s="17"/>
      <c r="S44" s="51"/>
      <c r="T44" s="388"/>
      <c r="U44" s="150"/>
    </row>
    <row r="45" spans="1:21" s="13" customFormat="1" ht="15" hidden="1" outlineLevel="1">
      <c r="A45" s="92"/>
      <c r="B45" s="56" t="s">
        <v>174</v>
      </c>
      <c r="C45" s="56"/>
      <c r="D45" s="195"/>
      <c r="E45" s="196"/>
      <c r="F45" s="197"/>
      <c r="G45" s="213"/>
      <c r="H45" s="240"/>
      <c r="I45" s="229"/>
      <c r="J45" s="17">
        <f>+I73/10</f>
        <v>270075</v>
      </c>
      <c r="K45" s="36">
        <f>+J45</f>
        <v>270075</v>
      </c>
      <c r="L45" s="36">
        <f aca="true" t="shared" si="21" ref="L45:S45">+K45</f>
        <v>270075</v>
      </c>
      <c r="M45" s="36">
        <f t="shared" si="21"/>
        <v>270075</v>
      </c>
      <c r="N45" s="36">
        <f t="shared" si="21"/>
        <v>270075</v>
      </c>
      <c r="O45" s="36">
        <f t="shared" si="21"/>
        <v>270075</v>
      </c>
      <c r="P45" s="36">
        <f t="shared" si="21"/>
        <v>270075</v>
      </c>
      <c r="Q45" s="17">
        <f t="shared" si="21"/>
        <v>270075</v>
      </c>
      <c r="R45" s="17">
        <f t="shared" si="21"/>
        <v>270075</v>
      </c>
      <c r="S45" s="51">
        <f t="shared" si="21"/>
        <v>270075</v>
      </c>
      <c r="T45" s="388"/>
      <c r="U45" s="150">
        <f t="shared" si="20"/>
        <v>2700750</v>
      </c>
    </row>
    <row r="46" spans="1:21" s="13" customFormat="1" ht="15" hidden="1" outlineLevel="1">
      <c r="A46" s="92"/>
      <c r="B46" s="62" t="s">
        <v>11</v>
      </c>
      <c r="C46" s="16"/>
      <c r="D46" s="193"/>
      <c r="E46" s="194"/>
      <c r="F46" s="182"/>
      <c r="G46" s="213">
        <f>62900+55000*3</f>
        <v>227900</v>
      </c>
      <c r="H46" s="240">
        <f>62900+55000*3</f>
        <v>227900</v>
      </c>
      <c r="I46" s="229">
        <f>55000*4</f>
        <v>220000</v>
      </c>
      <c r="J46" s="17">
        <f>55000*4</f>
        <v>220000</v>
      </c>
      <c r="K46" s="36"/>
      <c r="L46" s="20"/>
      <c r="M46" s="37"/>
      <c r="N46" s="17"/>
      <c r="O46" s="17"/>
      <c r="P46" s="36"/>
      <c r="Q46" s="17"/>
      <c r="R46" s="17"/>
      <c r="S46" s="51"/>
      <c r="T46" s="388"/>
      <c r="U46" s="150">
        <f t="shared" si="20"/>
        <v>895800</v>
      </c>
    </row>
    <row r="47" spans="1:21" s="13" customFormat="1" ht="15" hidden="1" outlineLevel="1">
      <c r="A47" s="92"/>
      <c r="B47" s="79" t="s">
        <v>149</v>
      </c>
      <c r="C47" s="19"/>
      <c r="D47" s="198"/>
      <c r="E47" s="199"/>
      <c r="F47" s="182">
        <f>400000+64000+56000*3</f>
        <v>632000</v>
      </c>
      <c r="G47" s="214">
        <f>400000+56000*4</f>
        <v>624000</v>
      </c>
      <c r="H47" s="241">
        <f>400000+56000*4</f>
        <v>624000</v>
      </c>
      <c r="I47" s="230">
        <f>400000+56000*4</f>
        <v>624000</v>
      </c>
      <c r="J47" s="20"/>
      <c r="K47" s="37"/>
      <c r="L47" s="12"/>
      <c r="M47" s="34"/>
      <c r="N47" s="20"/>
      <c r="O47" s="20"/>
      <c r="P47" s="37"/>
      <c r="Q47" s="20"/>
      <c r="R47" s="20"/>
      <c r="S47" s="52"/>
      <c r="T47" s="389"/>
      <c r="U47" s="150">
        <f t="shared" si="20"/>
        <v>1872000</v>
      </c>
    </row>
    <row r="48" spans="1:21" s="13" customFormat="1" ht="30" customHeight="1" hidden="1" outlineLevel="1">
      <c r="A48" s="92"/>
      <c r="B48" s="80" t="s">
        <v>32</v>
      </c>
      <c r="C48" s="57"/>
      <c r="D48" s="200"/>
      <c r="E48" s="201"/>
      <c r="F48" s="182"/>
      <c r="G48" s="183"/>
      <c r="H48" s="242"/>
      <c r="I48" s="231"/>
      <c r="J48" s="58"/>
      <c r="K48" s="59"/>
      <c r="L48" s="12"/>
      <c r="M48" s="34"/>
      <c r="N48" s="58"/>
      <c r="O48" s="58"/>
      <c r="P48" s="59"/>
      <c r="Q48" s="58"/>
      <c r="R48" s="12"/>
      <c r="S48" s="54"/>
      <c r="T48" s="390"/>
      <c r="U48" s="150">
        <f t="shared" si="20"/>
        <v>0</v>
      </c>
    </row>
    <row r="49" spans="1:21" s="13" customFormat="1" ht="15" hidden="1" outlineLevel="1">
      <c r="A49" s="91" t="s">
        <v>75</v>
      </c>
      <c r="B49" s="73" t="s">
        <v>42</v>
      </c>
      <c r="C49" s="11">
        <v>625000</v>
      </c>
      <c r="D49" s="182">
        <v>1250000</v>
      </c>
      <c r="E49" s="183">
        <v>0</v>
      </c>
      <c r="F49" s="182">
        <v>0</v>
      </c>
      <c r="G49" s="211">
        <v>625000</v>
      </c>
      <c r="H49" s="184">
        <v>625000</v>
      </c>
      <c r="I49" s="225">
        <v>625000</v>
      </c>
      <c r="J49" s="12">
        <v>625000</v>
      </c>
      <c r="K49" s="34">
        <v>625000</v>
      </c>
      <c r="L49" s="12">
        <v>625000</v>
      </c>
      <c r="M49" s="34"/>
      <c r="N49" s="12"/>
      <c r="O49" s="12"/>
      <c r="P49" s="34"/>
      <c r="Q49" s="12"/>
      <c r="R49" s="12"/>
      <c r="S49" s="54"/>
      <c r="T49" s="380"/>
      <c r="U49" s="150">
        <f t="shared" si="20"/>
        <v>3750000</v>
      </c>
    </row>
    <row r="50" spans="1:20" s="13" customFormat="1" ht="15" hidden="1" outlineLevel="1">
      <c r="A50" s="91" t="s">
        <v>76</v>
      </c>
      <c r="B50" s="73" t="s">
        <v>43</v>
      </c>
      <c r="C50" s="11">
        <v>0</v>
      </c>
      <c r="D50" s="182">
        <v>0</v>
      </c>
      <c r="E50" s="183">
        <v>0</v>
      </c>
      <c r="F50" s="182">
        <v>0</v>
      </c>
      <c r="G50" s="183">
        <v>0</v>
      </c>
      <c r="H50" s="184">
        <v>0</v>
      </c>
      <c r="I50" s="225">
        <v>0</v>
      </c>
      <c r="J50" s="12">
        <v>0</v>
      </c>
      <c r="K50" s="34">
        <v>0</v>
      </c>
      <c r="L50" s="12">
        <v>0</v>
      </c>
      <c r="M50" s="34">
        <v>0</v>
      </c>
      <c r="N50" s="12">
        <v>0</v>
      </c>
      <c r="O50" s="12">
        <v>0</v>
      </c>
      <c r="P50" s="34">
        <v>0</v>
      </c>
      <c r="Q50" s="12">
        <v>0</v>
      </c>
      <c r="R50" s="12">
        <v>0</v>
      </c>
      <c r="S50" s="54">
        <v>0</v>
      </c>
      <c r="T50" s="380">
        <v>0</v>
      </c>
    </row>
    <row r="51" spans="1:20" s="13" customFormat="1" ht="15" collapsed="1">
      <c r="A51" s="91" t="s">
        <v>72</v>
      </c>
      <c r="B51" s="77" t="s">
        <v>40</v>
      </c>
      <c r="C51" s="11">
        <v>187600</v>
      </c>
      <c r="D51" s="182">
        <f>466543-0.23</f>
        <v>466542.77</v>
      </c>
      <c r="E51" s="183">
        <f>527218-0.36</f>
        <v>527217.64</v>
      </c>
      <c r="F51" s="182">
        <f aca="true" t="shared" si="22" ref="F51:T51">SUM(F53:F65)</f>
        <v>401238.52</v>
      </c>
      <c r="G51" s="183">
        <f t="shared" si="22"/>
        <v>1086960</v>
      </c>
      <c r="H51" s="184">
        <f t="shared" si="22"/>
        <v>1086960</v>
      </c>
      <c r="I51" s="225">
        <f t="shared" si="22"/>
        <v>1266240</v>
      </c>
      <c r="J51" s="12">
        <f t="shared" si="22"/>
        <v>910018.336</v>
      </c>
      <c r="K51" s="34">
        <f t="shared" si="22"/>
        <v>713534</v>
      </c>
      <c r="L51" s="12">
        <f t="shared" si="22"/>
        <v>477030</v>
      </c>
      <c r="M51" s="34">
        <f t="shared" si="22"/>
        <v>230526</v>
      </c>
      <c r="N51" s="12">
        <f t="shared" si="22"/>
        <v>104023</v>
      </c>
      <c r="O51" s="12">
        <f t="shared" si="22"/>
        <v>67519</v>
      </c>
      <c r="P51" s="34">
        <f t="shared" si="22"/>
        <v>54015</v>
      </c>
      <c r="Q51" s="12">
        <f t="shared" si="22"/>
        <v>40511</v>
      </c>
      <c r="R51" s="12">
        <f t="shared" si="22"/>
        <v>27008</v>
      </c>
      <c r="S51" s="54">
        <f t="shared" si="22"/>
        <v>13504</v>
      </c>
      <c r="T51" s="380">
        <f t="shared" si="22"/>
        <v>0</v>
      </c>
    </row>
    <row r="52" spans="1:20" s="13" customFormat="1" ht="15">
      <c r="A52" s="362" t="s">
        <v>178</v>
      </c>
      <c r="B52" s="273" t="s">
        <v>179</v>
      </c>
      <c r="C52" s="23"/>
      <c r="D52" s="202">
        <f>+D51</f>
        <v>466542.77</v>
      </c>
      <c r="E52" s="203">
        <f aca="true" t="shared" si="23" ref="E52:T52">+E51</f>
        <v>527217.64</v>
      </c>
      <c r="F52" s="182">
        <f t="shared" si="23"/>
        <v>401238.52</v>
      </c>
      <c r="G52" s="183">
        <f t="shared" si="23"/>
        <v>1086960</v>
      </c>
      <c r="H52" s="268">
        <f t="shared" si="23"/>
        <v>1086960</v>
      </c>
      <c r="I52" s="269">
        <f t="shared" si="23"/>
        <v>1266240</v>
      </c>
      <c r="J52" s="270">
        <f t="shared" si="23"/>
        <v>910018.336</v>
      </c>
      <c r="K52" s="271">
        <f t="shared" si="23"/>
        <v>713534</v>
      </c>
      <c r="L52" s="12">
        <f t="shared" si="23"/>
        <v>477030</v>
      </c>
      <c r="M52" s="34">
        <f t="shared" si="23"/>
        <v>230526</v>
      </c>
      <c r="N52" s="270">
        <f t="shared" si="23"/>
        <v>104023</v>
      </c>
      <c r="O52" s="270">
        <f t="shared" si="23"/>
        <v>67519</v>
      </c>
      <c r="P52" s="271">
        <f t="shared" si="23"/>
        <v>54015</v>
      </c>
      <c r="Q52" s="270">
        <f t="shared" si="23"/>
        <v>40511</v>
      </c>
      <c r="R52" s="270">
        <f t="shared" si="23"/>
        <v>27008</v>
      </c>
      <c r="S52" s="272">
        <f t="shared" si="23"/>
        <v>13504</v>
      </c>
      <c r="T52" s="391">
        <f t="shared" si="23"/>
        <v>0</v>
      </c>
    </row>
    <row r="53" spans="1:20" s="22" customFormat="1" ht="15" hidden="1" outlineLevel="1">
      <c r="A53" s="90"/>
      <c r="B53" s="78" t="s">
        <v>7</v>
      </c>
      <c r="C53" s="23"/>
      <c r="D53" s="202"/>
      <c r="E53" s="203"/>
      <c r="F53" s="182">
        <v>20934.73</v>
      </c>
      <c r="G53" s="183"/>
      <c r="H53" s="239"/>
      <c r="I53" s="228"/>
      <c r="J53" s="15"/>
      <c r="K53" s="35"/>
      <c r="L53" s="12"/>
      <c r="M53" s="34"/>
      <c r="N53" s="15"/>
      <c r="O53" s="15"/>
      <c r="P53" s="35"/>
      <c r="Q53" s="15"/>
      <c r="R53" s="15"/>
      <c r="S53" s="50"/>
      <c r="T53" s="387"/>
    </row>
    <row r="54" spans="1:20" s="22" customFormat="1" ht="15" hidden="1" outlineLevel="1">
      <c r="A54" s="90"/>
      <c r="B54" s="62" t="s">
        <v>8</v>
      </c>
      <c r="C54" s="16"/>
      <c r="D54" s="193"/>
      <c r="E54" s="194"/>
      <c r="F54" s="204">
        <v>7643.85</v>
      </c>
      <c r="G54" s="183"/>
      <c r="H54" s="240"/>
      <c r="I54" s="229"/>
      <c r="J54" s="17"/>
      <c r="K54" s="36"/>
      <c r="L54" s="12"/>
      <c r="M54" s="34"/>
      <c r="N54" s="17"/>
      <c r="O54" s="17"/>
      <c r="P54" s="36"/>
      <c r="Q54" s="17"/>
      <c r="R54" s="17"/>
      <c r="S54" s="51"/>
      <c r="T54" s="388"/>
    </row>
    <row r="55" spans="1:20" s="22" customFormat="1" ht="15" hidden="1" outlineLevel="1">
      <c r="A55" s="90"/>
      <c r="B55" s="62" t="s">
        <v>9</v>
      </c>
      <c r="C55" s="16"/>
      <c r="D55" s="193"/>
      <c r="E55" s="194"/>
      <c r="F55" s="204">
        <v>137680.46</v>
      </c>
      <c r="G55" s="183">
        <v>126000</v>
      </c>
      <c r="H55" s="240">
        <f>+H39*4.2%*3</f>
        <v>126000</v>
      </c>
      <c r="I55" s="229">
        <f>+I39*4.2%*2</f>
        <v>84000</v>
      </c>
      <c r="J55" s="17">
        <f>+J39*4.2%*1</f>
        <v>42000.336</v>
      </c>
      <c r="K55" s="36"/>
      <c r="L55" s="12"/>
      <c r="M55" s="34"/>
      <c r="N55" s="17"/>
      <c r="O55" s="17"/>
      <c r="P55" s="36"/>
      <c r="Q55" s="17"/>
      <c r="R55" s="17"/>
      <c r="S55" s="51"/>
      <c r="T55" s="388"/>
    </row>
    <row r="56" spans="1:20" s="22" customFormat="1" ht="15" hidden="1" outlineLevel="1">
      <c r="A56" s="90"/>
      <c r="B56" s="62" t="s">
        <v>13</v>
      </c>
      <c r="C56" s="16"/>
      <c r="D56" s="193"/>
      <c r="E56" s="194"/>
      <c r="F56" s="204">
        <v>141381.25</v>
      </c>
      <c r="G56" s="183">
        <v>240000</v>
      </c>
      <c r="H56" s="240">
        <v>240000</v>
      </c>
      <c r="I56" s="229">
        <v>190000</v>
      </c>
      <c r="J56" s="17">
        <v>140000</v>
      </c>
      <c r="K56" s="36">
        <v>90000</v>
      </c>
      <c r="L56" s="12">
        <v>50000</v>
      </c>
      <c r="M56" s="34"/>
      <c r="N56" s="17"/>
      <c r="O56" s="17"/>
      <c r="P56" s="36"/>
      <c r="Q56" s="17"/>
      <c r="R56" s="17"/>
      <c r="S56" s="51"/>
      <c r="T56" s="388"/>
    </row>
    <row r="57" spans="1:20" s="22" customFormat="1" ht="15" hidden="1" outlineLevel="1">
      <c r="A57" s="90"/>
      <c r="B57" s="18" t="s">
        <v>10</v>
      </c>
      <c r="C57" s="16"/>
      <c r="D57" s="193"/>
      <c r="E57" s="194"/>
      <c r="F57" s="204">
        <v>30776.98</v>
      </c>
      <c r="G57" s="183">
        <v>400000</v>
      </c>
      <c r="H57" s="240">
        <f>+G74*8%</f>
        <v>400000</v>
      </c>
      <c r="I57" s="229">
        <f>+($G74-H40)*8%</f>
        <v>320000</v>
      </c>
      <c r="J57" s="17">
        <f>+($G74-H40-I40)*8%</f>
        <v>240000</v>
      </c>
      <c r="K57" s="17">
        <f>+($G74-H40-I40-J40)*8%</f>
        <v>160000</v>
      </c>
      <c r="L57" s="17">
        <f>+($G74-H40-I40-J40-K40)*8%</f>
        <v>80000</v>
      </c>
      <c r="M57" s="34"/>
      <c r="N57" s="17"/>
      <c r="O57" s="17"/>
      <c r="P57" s="36"/>
      <c r="Q57" s="17"/>
      <c r="R57" s="17"/>
      <c r="S57" s="51"/>
      <c r="T57" s="388"/>
    </row>
    <row r="58" spans="1:20" s="22" customFormat="1" ht="15" hidden="1" outlineLevel="1">
      <c r="A58" s="90"/>
      <c r="B58" s="18" t="s">
        <v>19</v>
      </c>
      <c r="C58" s="16"/>
      <c r="D58" s="193"/>
      <c r="E58" s="194"/>
      <c r="F58" s="204"/>
      <c r="G58" s="183">
        <v>200000</v>
      </c>
      <c r="H58" s="240">
        <f>+H74*4%</f>
        <v>200000</v>
      </c>
      <c r="I58" s="229">
        <f>+H74*8%</f>
        <v>400000</v>
      </c>
      <c r="J58" s="17">
        <f>+($H74-J41*1)*8%</f>
        <v>320000</v>
      </c>
      <c r="K58" s="36">
        <f>+($H74-K41*2)*8%</f>
        <v>240000</v>
      </c>
      <c r="L58" s="12">
        <f>+($H74-L41*3)*8%</f>
        <v>160000</v>
      </c>
      <c r="M58" s="34">
        <f>+($H74-M41*4)*8%</f>
        <v>80000</v>
      </c>
      <c r="N58" s="17"/>
      <c r="O58" s="40"/>
      <c r="P58" s="245"/>
      <c r="Q58" s="17"/>
      <c r="R58" s="17"/>
      <c r="S58" s="51"/>
      <c r="T58" s="388"/>
    </row>
    <row r="59" spans="1:20" s="22" customFormat="1" ht="15" hidden="1" outlineLevel="1">
      <c r="A59" s="90"/>
      <c r="B59" s="18" t="s">
        <v>20</v>
      </c>
      <c r="C59" s="16"/>
      <c r="D59" s="193"/>
      <c r="E59" s="194"/>
      <c r="F59" s="204"/>
      <c r="G59" s="183"/>
      <c r="H59" s="240"/>
      <c r="I59" s="229">
        <f>ROUND(+I74*4%+108000-280,0)</f>
        <v>199720</v>
      </c>
      <c r="J59" s="17">
        <f>ROUND(+$I74*5%,0)</f>
        <v>115000</v>
      </c>
      <c r="K59" s="17">
        <f>ROUND(($I74-SUM($J42:J42))*5%,0)</f>
        <v>92000</v>
      </c>
      <c r="L59" s="17">
        <f>ROUND(($I74-SUM($J42:K42))*5%,0)</f>
        <v>69000</v>
      </c>
      <c r="M59" s="17">
        <f>ROUND(($I74-SUM($J42:L42))*5%,0)</f>
        <v>46000</v>
      </c>
      <c r="N59" s="17">
        <f>ROUND(($I74-SUM($J42:M42))*5%,0)</f>
        <v>23000</v>
      </c>
      <c r="O59" s="17">
        <f>ROUND(($I74-SUM($J42:N42))*5%,0)</f>
        <v>0</v>
      </c>
      <c r="P59" s="17">
        <f>ROUND(($I74-SUM($J42:O42))*5%,0)</f>
        <v>0</v>
      </c>
      <c r="Q59" s="17"/>
      <c r="R59" s="17"/>
      <c r="S59" s="51"/>
      <c r="T59" s="388"/>
    </row>
    <row r="60" spans="1:20" s="22" customFormat="1" ht="15" hidden="1" outlineLevel="1">
      <c r="A60" s="90"/>
      <c r="B60" s="18"/>
      <c r="C60" s="16"/>
      <c r="D60" s="193"/>
      <c r="E60" s="194"/>
      <c r="F60" s="204"/>
      <c r="G60" s="183"/>
      <c r="H60" s="240"/>
      <c r="I60" s="229"/>
      <c r="J60" s="17">
        <v>-100000</v>
      </c>
      <c r="K60" s="36"/>
      <c r="L60" s="12"/>
      <c r="M60" s="34"/>
      <c r="N60" s="17"/>
      <c r="O60" s="17"/>
      <c r="P60" s="36"/>
      <c r="Q60" s="17"/>
      <c r="R60" s="17"/>
      <c r="S60" s="51"/>
      <c r="T60" s="388"/>
    </row>
    <row r="61" spans="1:21" s="22" customFormat="1" ht="15" hidden="1" outlineLevel="1">
      <c r="A61" s="90"/>
      <c r="B61" s="18" t="s">
        <v>173</v>
      </c>
      <c r="C61" s="16"/>
      <c r="D61" s="193"/>
      <c r="E61" s="194"/>
      <c r="F61" s="204"/>
      <c r="G61" s="183"/>
      <c r="H61" s="240"/>
      <c r="I61" s="229"/>
      <c r="J61" s="17">
        <f>ROUND(+I73*5%,0)</f>
        <v>135038</v>
      </c>
      <c r="K61" s="17">
        <f>ROUND(($I73-SUM($J45:J45))*5%,0)</f>
        <v>121534</v>
      </c>
      <c r="L61" s="17">
        <f>ROUND(($I73-SUM($J45:K45))*5%,0)</f>
        <v>108030</v>
      </c>
      <c r="M61" s="17">
        <f>ROUND(($I73-SUM($J45:L45))*5%,0)</f>
        <v>94526</v>
      </c>
      <c r="N61" s="17">
        <f>ROUND(($I73-SUM($J45:M45))*5%,0)</f>
        <v>81023</v>
      </c>
      <c r="O61" s="17">
        <f>ROUND(($I73-SUM($J45:N45))*5%,0)</f>
        <v>67519</v>
      </c>
      <c r="P61" s="17">
        <f>ROUND(($I73-SUM($J45:O45))*5%,0)</f>
        <v>54015</v>
      </c>
      <c r="Q61" s="17">
        <f>ROUND(($I73-SUM($J45:P45))*5%,0)</f>
        <v>40511</v>
      </c>
      <c r="R61" s="17">
        <f>ROUND(($I73-SUM($J45:Q45))*5%,0)</f>
        <v>27008</v>
      </c>
      <c r="S61" s="51">
        <f>ROUND(($I73-SUM($J45:R45))*5%,0)</f>
        <v>13504</v>
      </c>
      <c r="T61" s="388"/>
      <c r="U61" s="140">
        <f>SUM(J61:S61)</f>
        <v>742708</v>
      </c>
    </row>
    <row r="62" spans="1:20" s="22" customFormat="1" ht="15" hidden="1" outlineLevel="1">
      <c r="A62" s="90"/>
      <c r="B62" s="62" t="s">
        <v>11</v>
      </c>
      <c r="C62" s="16"/>
      <c r="D62" s="193"/>
      <c r="E62" s="194"/>
      <c r="F62" s="204">
        <v>0</v>
      </c>
      <c r="G62" s="183">
        <v>42000</v>
      </c>
      <c r="H62" s="240">
        <f>+G62</f>
        <v>42000</v>
      </c>
      <c r="I62" s="229">
        <f>ROUND(+(F73+H73-H46)*3.5%,0)</f>
        <v>15400</v>
      </c>
      <c r="J62" s="17">
        <f>ROUND(+(F73+H73-H46-I46)*3.5%,0)</f>
        <v>7700</v>
      </c>
      <c r="K62" s="17">
        <f>ROUND(+(F73+H73-H46-I46-J46)*3.5%,0)</f>
        <v>0</v>
      </c>
      <c r="L62" s="12"/>
      <c r="M62" s="34"/>
      <c r="N62" s="17"/>
      <c r="O62" s="17"/>
      <c r="P62" s="36"/>
      <c r="Q62" s="17"/>
      <c r="R62" s="17"/>
      <c r="S62" s="51"/>
      <c r="T62" s="388"/>
    </row>
    <row r="63" spans="1:20" s="22" customFormat="1" ht="15" hidden="1" outlineLevel="1">
      <c r="A63" s="90"/>
      <c r="B63" s="63" t="s">
        <v>12</v>
      </c>
      <c r="C63" s="16"/>
      <c r="D63" s="193"/>
      <c r="E63" s="194"/>
      <c r="F63" s="204">
        <v>57193.22</v>
      </c>
      <c r="G63" s="183">
        <v>43960</v>
      </c>
      <c r="H63" s="243">
        <f>+(E73-G47)*3.5%</f>
        <v>43960.00000000001</v>
      </c>
      <c r="I63" s="232">
        <f>+(E73-G47-H47)*3.5%</f>
        <v>22120.000000000004</v>
      </c>
      <c r="J63" s="24">
        <f>+(E73-G47-H47-I47)*3.5%</f>
        <v>280</v>
      </c>
      <c r="K63" s="117"/>
      <c r="L63" s="12"/>
      <c r="M63" s="34"/>
      <c r="N63" s="24"/>
      <c r="O63" s="24"/>
      <c r="P63" s="117"/>
      <c r="Q63" s="17"/>
      <c r="R63" s="17"/>
      <c r="S63" s="51"/>
      <c r="T63" s="388"/>
    </row>
    <row r="64" spans="1:20" s="22" customFormat="1" ht="15" hidden="1" outlineLevel="1">
      <c r="A64" s="90"/>
      <c r="B64" s="63" t="s">
        <v>14</v>
      </c>
      <c r="C64" s="16"/>
      <c r="D64" s="193"/>
      <c r="E64" s="194"/>
      <c r="F64" s="204">
        <v>5628.03</v>
      </c>
      <c r="G64" s="183">
        <v>10000</v>
      </c>
      <c r="H64" s="243">
        <v>10000</v>
      </c>
      <c r="I64" s="232">
        <v>10000</v>
      </c>
      <c r="J64" s="24">
        <v>10000</v>
      </c>
      <c r="K64" s="117">
        <v>10000</v>
      </c>
      <c r="L64" s="12">
        <v>10000</v>
      </c>
      <c r="M64" s="34">
        <v>10000</v>
      </c>
      <c r="N64" s="24"/>
      <c r="O64" s="24"/>
      <c r="P64" s="117"/>
      <c r="Q64" s="17"/>
      <c r="R64" s="17"/>
      <c r="S64" s="51"/>
      <c r="T64" s="388"/>
    </row>
    <row r="65" spans="1:20" s="22" customFormat="1" ht="15" hidden="1" outlineLevel="1">
      <c r="A65" s="90"/>
      <c r="B65" s="64" t="s">
        <v>15</v>
      </c>
      <c r="C65" s="19"/>
      <c r="D65" s="198"/>
      <c r="E65" s="199"/>
      <c r="F65" s="182"/>
      <c r="G65" s="183">
        <v>25000</v>
      </c>
      <c r="H65" s="241">
        <v>25000</v>
      </c>
      <c r="I65" s="230">
        <f>+H65</f>
        <v>25000</v>
      </c>
      <c r="J65" s="20"/>
      <c r="K65" s="37"/>
      <c r="L65" s="12"/>
      <c r="M65" s="34"/>
      <c r="N65" s="20"/>
      <c r="O65" s="20"/>
      <c r="P65" s="37"/>
      <c r="Q65" s="20"/>
      <c r="R65" s="20"/>
      <c r="S65" s="52"/>
      <c r="T65" s="389"/>
    </row>
    <row r="66" spans="1:20" s="22" customFormat="1" ht="15.75" collapsed="1">
      <c r="A66" s="93">
        <v>8</v>
      </c>
      <c r="B66" s="81" t="s">
        <v>44</v>
      </c>
      <c r="C66" s="9"/>
      <c r="D66" s="180"/>
      <c r="E66" s="181"/>
      <c r="F66" s="180"/>
      <c r="G66" s="181"/>
      <c r="H66" s="222"/>
      <c r="I66" s="236"/>
      <c r="J66" s="10"/>
      <c r="K66" s="33"/>
      <c r="L66" s="10"/>
      <c r="M66" s="33"/>
      <c r="N66" s="10"/>
      <c r="O66" s="10"/>
      <c r="P66" s="33"/>
      <c r="Q66" s="10"/>
      <c r="R66" s="10"/>
      <c r="S66" s="53"/>
      <c r="T66" s="379"/>
    </row>
    <row r="67" spans="1:20" s="66" customFormat="1" ht="18.75">
      <c r="A67" s="107">
        <v>9</v>
      </c>
      <c r="B67" s="76" t="s">
        <v>45</v>
      </c>
      <c r="C67" s="10">
        <f>+C32-C33-C66</f>
        <v>7059912</v>
      </c>
      <c r="D67" s="180">
        <f aca="true" t="shared" si="24" ref="D67:T67">+D32-D33-D66</f>
        <v>11951955.790000003</v>
      </c>
      <c r="E67" s="180">
        <f t="shared" si="24"/>
        <v>10825897.5</v>
      </c>
      <c r="F67" s="180">
        <f t="shared" si="24"/>
        <v>7523970.179999992</v>
      </c>
      <c r="G67" s="181">
        <f t="shared" si="24"/>
        <v>9226234</v>
      </c>
      <c r="H67" s="222">
        <f t="shared" si="24"/>
        <v>9226234</v>
      </c>
      <c r="I67" s="224">
        <f t="shared" si="24"/>
        <v>5734953</v>
      </c>
      <c r="J67" s="10">
        <f t="shared" si="24"/>
        <v>7608422.664</v>
      </c>
      <c r="K67" s="33">
        <f t="shared" si="24"/>
        <v>13827087</v>
      </c>
      <c r="L67" s="10">
        <f t="shared" si="24"/>
        <v>15557042</v>
      </c>
      <c r="M67" s="33">
        <f t="shared" si="24"/>
        <v>13216274</v>
      </c>
      <c r="N67" s="10">
        <f t="shared" si="24"/>
        <v>14494184</v>
      </c>
      <c r="O67" s="10">
        <f t="shared" si="24"/>
        <v>15138082</v>
      </c>
      <c r="P67" s="33">
        <f t="shared" si="24"/>
        <v>15294504</v>
      </c>
      <c r="Q67" s="10">
        <f t="shared" si="24"/>
        <v>15445958</v>
      </c>
      <c r="R67" s="10">
        <f>+R32-R33-R66</f>
        <v>15591926</v>
      </c>
      <c r="S67" s="53">
        <f>+S32-S33-S66</f>
        <v>15731860</v>
      </c>
      <c r="T67" s="379">
        <f t="shared" si="24"/>
        <v>16135252</v>
      </c>
    </row>
    <row r="68" spans="1:20" s="25" customFormat="1" ht="15.75">
      <c r="A68" s="93">
        <v>10</v>
      </c>
      <c r="B68" s="81" t="s">
        <v>47</v>
      </c>
      <c r="C68" s="28">
        <v>14908607</v>
      </c>
      <c r="D68" s="188">
        <f>SUM(D69:D71)</f>
        <v>11032828</v>
      </c>
      <c r="E68" s="181">
        <f aca="true" t="shared" si="25" ref="E68:J68">SUM(E69,E71)</f>
        <v>11649712.47</v>
      </c>
      <c r="F68" s="181">
        <f t="shared" si="25"/>
        <v>9455466.88</v>
      </c>
      <c r="G68" s="181">
        <f t="shared" si="25"/>
        <v>14294134</v>
      </c>
      <c r="H68" s="181">
        <f t="shared" si="25"/>
        <v>13169217</v>
      </c>
      <c r="I68" s="224">
        <f t="shared" si="25"/>
        <v>10735703</v>
      </c>
      <c r="J68" s="10">
        <f t="shared" si="25"/>
        <v>7608422.72</v>
      </c>
      <c r="K68" s="10">
        <f aca="true" t="shared" si="26" ref="K68:S68">SUM(K69,K71)</f>
        <v>13827087.44</v>
      </c>
      <c r="L68" s="10">
        <f t="shared" si="26"/>
        <v>15557042.44</v>
      </c>
      <c r="M68" s="10">
        <f t="shared" si="26"/>
        <v>13216274</v>
      </c>
      <c r="N68" s="10">
        <f t="shared" si="26"/>
        <v>14494184</v>
      </c>
      <c r="O68" s="10">
        <f t="shared" si="26"/>
        <v>15138082</v>
      </c>
      <c r="P68" s="10">
        <f t="shared" si="26"/>
        <v>15294504</v>
      </c>
      <c r="Q68" s="10">
        <f t="shared" si="26"/>
        <v>15445958</v>
      </c>
      <c r="R68" s="10">
        <f t="shared" si="26"/>
        <v>15591926</v>
      </c>
      <c r="S68" s="53">
        <f t="shared" si="26"/>
        <v>15731860</v>
      </c>
      <c r="T68" s="384">
        <f>SUM(T69:T71)</f>
        <v>16135252</v>
      </c>
    </row>
    <row r="69" spans="1:20" s="25" customFormat="1" ht="15">
      <c r="A69" s="91" t="s">
        <v>78</v>
      </c>
      <c r="B69" s="80" t="s">
        <v>180</v>
      </c>
      <c r="C69" s="29"/>
      <c r="D69" s="185"/>
      <c r="E69" s="186"/>
      <c r="F69" s="185"/>
      <c r="G69" s="186">
        <v>7911842</v>
      </c>
      <c r="H69" s="184">
        <f>+G69</f>
        <v>7911842</v>
      </c>
      <c r="I69" s="225">
        <f>+'wykaz przedsięwzięć'!J39</f>
        <v>9062201.72</v>
      </c>
      <c r="J69" s="12">
        <f>+'wykaz przedsięwzięć'!K39</f>
        <v>7472201.72</v>
      </c>
      <c r="K69" s="34">
        <f>+'wykaz przedsięwzięć'!L39</f>
        <v>13805210.44</v>
      </c>
      <c r="L69" s="12">
        <f>+'wykaz przedsięwzięć'!M39</f>
        <v>13045210.44</v>
      </c>
      <c r="M69" s="34">
        <f>+'wykaz przedsięwzięć'!N39</f>
        <v>9000000</v>
      </c>
      <c r="N69" s="30"/>
      <c r="O69" s="30"/>
      <c r="P69" s="38"/>
      <c r="Q69" s="30"/>
      <c r="R69" s="30"/>
      <c r="S69" s="55"/>
      <c r="T69" s="382"/>
    </row>
    <row r="70" spans="1:20" s="263" customFormat="1" ht="25.5">
      <c r="A70" s="247" t="s">
        <v>79</v>
      </c>
      <c r="B70" s="248" t="s">
        <v>171</v>
      </c>
      <c r="C70" s="257"/>
      <c r="D70" s="258"/>
      <c r="E70" s="259">
        <v>0</v>
      </c>
      <c r="F70" s="258">
        <v>3940</v>
      </c>
      <c r="G70" s="259">
        <f>+H70</f>
        <v>5985443</v>
      </c>
      <c r="H70" s="252">
        <v>5985443</v>
      </c>
      <c r="I70" s="401">
        <f>+'wykaz przedsięwzięć'!J43</f>
        <v>2200000</v>
      </c>
      <c r="J70" s="253">
        <f>+'wykaz przedsięwzięć'!K43</f>
        <v>2600000</v>
      </c>
      <c r="K70" s="253">
        <f>+'wykaz przedsięwzięć'!L43</f>
        <v>3700000</v>
      </c>
      <c r="L70" s="253">
        <f>+'wykaz przedsięwzięć'!M43</f>
        <v>280000</v>
      </c>
      <c r="M70" s="253">
        <f>+'wykaz przedsięwzięć'!N43</f>
        <v>0</v>
      </c>
      <c r="N70" s="260"/>
      <c r="O70" s="260"/>
      <c r="P70" s="261"/>
      <c r="Q70" s="260"/>
      <c r="R70" s="260"/>
      <c r="S70" s="262"/>
      <c r="T70" s="383"/>
    </row>
    <row r="71" spans="1:20" s="25" customFormat="1" ht="15">
      <c r="A71" s="91" t="s">
        <v>172</v>
      </c>
      <c r="B71" s="80" t="s">
        <v>46</v>
      </c>
      <c r="C71" s="29"/>
      <c r="D71" s="185">
        <v>11032828</v>
      </c>
      <c r="E71" s="186">
        <v>11649712.47</v>
      </c>
      <c r="F71" s="185">
        <v>9455466.88</v>
      </c>
      <c r="G71" s="186">
        <f>14294134-G69</f>
        <v>6382292</v>
      </c>
      <c r="H71" s="187">
        <f>10615143-H69+170000+289574+2094500</f>
        <v>5257375</v>
      </c>
      <c r="I71" s="226">
        <f>10735703-I69</f>
        <v>1673501.2799999993</v>
      </c>
      <c r="J71" s="30">
        <v>136221</v>
      </c>
      <c r="K71" s="38">
        <v>21877</v>
      </c>
      <c r="L71" s="30">
        <f>3311832-800000</f>
        <v>2511832</v>
      </c>
      <c r="M71" s="38">
        <v>4216274</v>
      </c>
      <c r="N71" s="30">
        <v>14494184</v>
      </c>
      <c r="O71" s="30">
        <v>15138082</v>
      </c>
      <c r="P71" s="38">
        <v>15294504</v>
      </c>
      <c r="Q71" s="30">
        <v>15445958</v>
      </c>
      <c r="R71" s="30">
        <v>15591926</v>
      </c>
      <c r="S71" s="55">
        <v>15731860</v>
      </c>
      <c r="T71" s="382">
        <v>16135252</v>
      </c>
    </row>
    <row r="72" spans="1:20" s="13" customFormat="1" ht="15.75">
      <c r="A72" s="90" t="s">
        <v>48</v>
      </c>
      <c r="B72" s="76" t="s">
        <v>181</v>
      </c>
      <c r="C72" s="11">
        <f aca="true" t="shared" si="27" ref="C72:T72">SUM(C73:C75)</f>
        <v>6750000</v>
      </c>
      <c r="D72" s="180">
        <f t="shared" si="27"/>
        <v>5000000</v>
      </c>
      <c r="E72" s="181">
        <f>SUM(E73:E74)</f>
        <v>1880000</v>
      </c>
      <c r="F72" s="180">
        <f>SUM(F73:F74)</f>
        <v>5600000</v>
      </c>
      <c r="G72" s="181">
        <f>SUM(G73:G74)</f>
        <v>5067900</v>
      </c>
      <c r="H72" s="222">
        <f>SUM(H73:H74)</f>
        <v>5067900</v>
      </c>
      <c r="I72" s="224">
        <f>SUM(I73:I74)</f>
        <v>5000750</v>
      </c>
      <c r="J72" s="10">
        <f t="shared" si="27"/>
        <v>0</v>
      </c>
      <c r="K72" s="33">
        <f t="shared" si="27"/>
        <v>0</v>
      </c>
      <c r="L72" s="10">
        <f t="shared" si="27"/>
        <v>0</v>
      </c>
      <c r="M72" s="33">
        <f t="shared" si="27"/>
        <v>0</v>
      </c>
      <c r="N72" s="10">
        <f t="shared" si="27"/>
        <v>0</v>
      </c>
      <c r="O72" s="10">
        <f t="shared" si="27"/>
        <v>0</v>
      </c>
      <c r="P72" s="33">
        <f t="shared" si="27"/>
        <v>0</v>
      </c>
      <c r="Q72" s="10">
        <f t="shared" si="27"/>
        <v>0</v>
      </c>
      <c r="R72" s="10"/>
      <c r="S72" s="53"/>
      <c r="T72" s="379">
        <f t="shared" si="27"/>
        <v>0</v>
      </c>
    </row>
    <row r="73" spans="1:20" s="13" customFormat="1" ht="15" hidden="1" outlineLevel="1">
      <c r="A73" s="91" t="s">
        <v>34</v>
      </c>
      <c r="B73" s="80" t="s">
        <v>164</v>
      </c>
      <c r="C73" s="11"/>
      <c r="D73" s="182"/>
      <c r="E73" s="183">
        <v>1880000</v>
      </c>
      <c r="F73" s="182">
        <v>600000</v>
      </c>
      <c r="G73" s="183">
        <v>67900</v>
      </c>
      <c r="H73" s="184">
        <v>67900</v>
      </c>
      <c r="I73" s="225">
        <v>2700750</v>
      </c>
      <c r="J73" s="12"/>
      <c r="K73" s="34"/>
      <c r="L73" s="12"/>
      <c r="M73" s="34"/>
      <c r="N73" s="12"/>
      <c r="O73" s="12"/>
      <c r="P73" s="34"/>
      <c r="Q73" s="12"/>
      <c r="R73" s="12"/>
      <c r="S73" s="54"/>
      <c r="T73" s="380"/>
    </row>
    <row r="74" spans="1:20" s="13" customFormat="1" ht="15" hidden="1" outlineLevel="1">
      <c r="A74" s="91" t="s">
        <v>35</v>
      </c>
      <c r="B74" s="80" t="s">
        <v>49</v>
      </c>
      <c r="C74" s="11">
        <v>3000000</v>
      </c>
      <c r="D74" s="182">
        <v>5000000</v>
      </c>
      <c r="E74" s="183"/>
      <c r="F74" s="182">
        <v>5000000</v>
      </c>
      <c r="G74" s="183">
        <f>5000000+3000000-3000000</f>
        <v>5000000</v>
      </c>
      <c r="H74" s="184">
        <v>5000000</v>
      </c>
      <c r="I74" s="225">
        <v>2300000</v>
      </c>
      <c r="J74" s="12"/>
      <c r="K74" s="34"/>
      <c r="L74" s="12"/>
      <c r="M74" s="34"/>
      <c r="N74" s="12"/>
      <c r="O74" s="12"/>
      <c r="P74" s="34"/>
      <c r="Q74" s="12"/>
      <c r="R74" s="12"/>
      <c r="S74" s="54"/>
      <c r="T74" s="380"/>
    </row>
    <row r="75" spans="1:20" s="13" customFormat="1" ht="15" collapsed="1">
      <c r="A75" s="91" t="s">
        <v>162</v>
      </c>
      <c r="B75" s="80" t="s">
        <v>163</v>
      </c>
      <c r="C75" s="11">
        <v>3750000</v>
      </c>
      <c r="D75" s="182"/>
      <c r="E75" s="183">
        <v>1880000</v>
      </c>
      <c r="F75" s="182"/>
      <c r="G75" s="183">
        <v>3975074</v>
      </c>
      <c r="H75" s="184">
        <v>3975074</v>
      </c>
      <c r="I75" s="225">
        <v>531750</v>
      </c>
      <c r="J75" s="12"/>
      <c r="K75" s="34"/>
      <c r="L75" s="12"/>
      <c r="M75" s="34"/>
      <c r="N75" s="12"/>
      <c r="O75" s="12"/>
      <c r="P75" s="34"/>
      <c r="Q75" s="12"/>
      <c r="R75" s="12"/>
      <c r="S75" s="54"/>
      <c r="T75" s="380"/>
    </row>
    <row r="76" spans="1:20" s="25" customFormat="1" ht="15.75">
      <c r="A76" s="90">
        <v>12</v>
      </c>
      <c r="B76" s="72" t="s">
        <v>77</v>
      </c>
      <c r="C76" s="10">
        <f>+C67-C68+C72</f>
        <v>-1098695</v>
      </c>
      <c r="D76" s="180">
        <f aca="true" t="shared" si="28" ref="D76:Q76">+D67-D68+D72</f>
        <v>5919127.790000003</v>
      </c>
      <c r="E76" s="180">
        <f t="shared" si="28"/>
        <v>1056185.0299999993</v>
      </c>
      <c r="F76" s="180">
        <f t="shared" si="28"/>
        <v>3668503.2999999914</v>
      </c>
      <c r="G76" s="181">
        <f>+G67-G68+G72</f>
        <v>0</v>
      </c>
      <c r="H76" s="222">
        <f t="shared" si="28"/>
        <v>1124917</v>
      </c>
      <c r="I76" s="224">
        <f t="shared" si="28"/>
        <v>0</v>
      </c>
      <c r="J76" s="10">
        <f t="shared" si="28"/>
        <v>-0.05599999986588955</v>
      </c>
      <c r="K76" s="33">
        <f t="shared" si="28"/>
        <v>-0.43999999947845936</v>
      </c>
      <c r="L76" s="10">
        <f t="shared" si="28"/>
        <v>-0.43999999947845936</v>
      </c>
      <c r="M76" s="33">
        <f t="shared" si="28"/>
        <v>0</v>
      </c>
      <c r="N76" s="10">
        <f t="shared" si="28"/>
        <v>0</v>
      </c>
      <c r="O76" s="10">
        <f t="shared" si="28"/>
        <v>0</v>
      </c>
      <c r="P76" s="33">
        <f t="shared" si="28"/>
        <v>0</v>
      </c>
      <c r="Q76" s="10">
        <f t="shared" si="28"/>
        <v>0</v>
      </c>
      <c r="R76" s="10">
        <f>+R67-R68+R72</f>
        <v>0</v>
      </c>
      <c r="S76" s="53">
        <f>+S67-S68+S72</f>
        <v>0</v>
      </c>
      <c r="T76" s="379">
        <f>+T67-T68+T72</f>
        <v>0</v>
      </c>
    </row>
    <row r="77" spans="1:20" s="6" customFormat="1" ht="15.75">
      <c r="A77" s="90">
        <v>13</v>
      </c>
      <c r="B77" s="72" t="s">
        <v>182</v>
      </c>
      <c r="C77" s="9">
        <f>+C78+C72</f>
        <v>9175000</v>
      </c>
      <c r="D77" s="180">
        <f>+D78+D72</f>
        <v>11325000</v>
      </c>
      <c r="E77" s="181">
        <f aca="true" t="shared" si="29" ref="E77:M77">+E78</f>
        <v>10605004</v>
      </c>
      <c r="F77" s="180">
        <f t="shared" si="29"/>
        <v>12973008</v>
      </c>
      <c r="G77" s="181">
        <f t="shared" si="29"/>
        <v>14564008</v>
      </c>
      <c r="H77" s="222">
        <f t="shared" si="29"/>
        <v>14564008</v>
      </c>
      <c r="I77" s="224">
        <f t="shared" si="29"/>
        <v>15095758</v>
      </c>
      <c r="J77" s="10">
        <f t="shared" si="29"/>
        <v>10520675</v>
      </c>
      <c r="K77" s="10">
        <f t="shared" si="29"/>
        <v>7165600</v>
      </c>
      <c r="L77" s="10">
        <f t="shared" si="29"/>
        <v>3810525</v>
      </c>
      <c r="M77" s="33">
        <f t="shared" si="29"/>
        <v>2080450</v>
      </c>
      <c r="N77" s="10">
        <f aca="true" t="shared" si="30" ref="N77:T77">+N78+N72</f>
        <v>1350375</v>
      </c>
      <c r="O77" s="10">
        <f t="shared" si="30"/>
        <v>1080300</v>
      </c>
      <c r="P77" s="33">
        <f t="shared" si="30"/>
        <v>810225</v>
      </c>
      <c r="Q77" s="10">
        <f t="shared" si="30"/>
        <v>540150</v>
      </c>
      <c r="R77" s="10">
        <f t="shared" si="30"/>
        <v>270075</v>
      </c>
      <c r="S77" s="53">
        <f t="shared" si="30"/>
        <v>0</v>
      </c>
      <c r="T77" s="379">
        <f t="shared" si="30"/>
        <v>540150</v>
      </c>
    </row>
    <row r="78" spans="1:20" s="13" customFormat="1" ht="15" hidden="1" outlineLevel="1">
      <c r="A78" s="94"/>
      <c r="B78" s="77" t="s">
        <v>16</v>
      </c>
      <c r="C78" s="11">
        <f>SUM(C79:C83)</f>
        <v>2425000</v>
      </c>
      <c r="D78" s="182">
        <f>SUM(D79:D83)</f>
        <v>6325000</v>
      </c>
      <c r="E78" s="183">
        <f>SUM(E79:E80,E81)</f>
        <v>10605004</v>
      </c>
      <c r="F78" s="182">
        <f>SUM(F79:F80,F81)</f>
        <v>12973008</v>
      </c>
      <c r="G78" s="183">
        <f>SUM(G79:G80,G81)</f>
        <v>14564008</v>
      </c>
      <c r="H78" s="184">
        <f>+G78</f>
        <v>14564008</v>
      </c>
      <c r="I78" s="225">
        <f>SUM(I79:I80,I81)</f>
        <v>15095758</v>
      </c>
      <c r="J78" s="12">
        <f>SUM(J79:J80,J81)</f>
        <v>10520675</v>
      </c>
      <c r="K78" s="12">
        <f>SUM(K79:K80,K81)</f>
        <v>7165600</v>
      </c>
      <c r="L78" s="12">
        <f>SUM(L79:L80,L81)</f>
        <v>3810525</v>
      </c>
      <c r="M78" s="34">
        <f>SUM(M79:M80,M81)</f>
        <v>2080450</v>
      </c>
      <c r="N78" s="12">
        <f aca="true" t="shared" si="31" ref="N78:T78">SUM(N79:N83)</f>
        <v>1350375</v>
      </c>
      <c r="O78" s="12">
        <f t="shared" si="31"/>
        <v>1080300</v>
      </c>
      <c r="P78" s="34">
        <f t="shared" si="31"/>
        <v>810225</v>
      </c>
      <c r="Q78" s="12">
        <f t="shared" si="31"/>
        <v>540150</v>
      </c>
      <c r="R78" s="12">
        <f t="shared" si="31"/>
        <v>270075</v>
      </c>
      <c r="S78" s="54">
        <f t="shared" si="31"/>
        <v>0</v>
      </c>
      <c r="T78" s="380">
        <f t="shared" si="31"/>
        <v>540150</v>
      </c>
    </row>
    <row r="79" spans="1:20" s="13" customFormat="1" ht="15" hidden="1" outlineLevel="1">
      <c r="A79" s="95"/>
      <c r="B79" s="80" t="s">
        <v>5</v>
      </c>
      <c r="C79" s="11"/>
      <c r="D79" s="182"/>
      <c r="E79" s="183">
        <f>+E73</f>
        <v>1880000</v>
      </c>
      <c r="F79" s="182">
        <f>+E73-F47+F73</f>
        <v>1848000</v>
      </c>
      <c r="G79" s="183">
        <f>+F79+G73-G46-G47</f>
        <v>1064000</v>
      </c>
      <c r="H79" s="183">
        <f>+F79+H73-H46-H47</f>
        <v>1064000</v>
      </c>
      <c r="I79" s="246">
        <f>+H79+I73-I45-I46-I47</f>
        <v>2920750</v>
      </c>
      <c r="J79" s="12">
        <f aca="true" t="shared" si="32" ref="J79:S79">+I79+J73-J45-J46-J47</f>
        <v>2430675</v>
      </c>
      <c r="K79" s="12">
        <f t="shared" si="32"/>
        <v>2160600</v>
      </c>
      <c r="L79" s="12">
        <f t="shared" si="32"/>
        <v>1890525</v>
      </c>
      <c r="M79" s="12">
        <f t="shared" si="32"/>
        <v>1620450</v>
      </c>
      <c r="N79" s="12">
        <f t="shared" si="32"/>
        <v>1350375</v>
      </c>
      <c r="O79" s="12">
        <f t="shared" si="32"/>
        <v>1080300</v>
      </c>
      <c r="P79" s="12">
        <f t="shared" si="32"/>
        <v>810225</v>
      </c>
      <c r="Q79" s="12">
        <f t="shared" si="32"/>
        <v>540150</v>
      </c>
      <c r="R79" s="12">
        <f t="shared" si="32"/>
        <v>270075</v>
      </c>
      <c r="S79" s="54">
        <f t="shared" si="32"/>
        <v>0</v>
      </c>
      <c r="T79" s="380">
        <f>+Q79-T46-T47</f>
        <v>540150</v>
      </c>
    </row>
    <row r="80" spans="1:20" s="13" customFormat="1" ht="15" hidden="1" outlineLevel="1">
      <c r="A80" s="92"/>
      <c r="B80" s="80" t="s">
        <v>50</v>
      </c>
      <c r="C80" s="11">
        <v>1800000</v>
      </c>
      <c r="D80" s="182">
        <f>+C80+C74-D36</f>
        <v>3200000</v>
      </c>
      <c r="E80" s="183">
        <f>+D80+D74-E36</f>
        <v>5600004</v>
      </c>
      <c r="F80" s="183">
        <f>+E80+F74-F36+F47</f>
        <v>8000008</v>
      </c>
      <c r="G80" s="183">
        <f>+F80+G74-SUM(G37:G45)</f>
        <v>11000008</v>
      </c>
      <c r="H80" s="183">
        <f>+F80+H74-SUM(H37:H45)</f>
        <v>11000008</v>
      </c>
      <c r="I80" s="246">
        <f>+H80+I74-SUM(I39:I43)</f>
        <v>10300008</v>
      </c>
      <c r="J80" s="12">
        <f aca="true" t="shared" si="33" ref="J80:S80">+I80+J74-SUM(J39:J43)</f>
        <v>6840000</v>
      </c>
      <c r="K80" s="12">
        <f t="shared" si="33"/>
        <v>4380000</v>
      </c>
      <c r="L80" s="12">
        <f t="shared" si="33"/>
        <v>1920000</v>
      </c>
      <c r="M80" s="12">
        <f t="shared" si="33"/>
        <v>460000</v>
      </c>
      <c r="N80" s="12">
        <f t="shared" si="33"/>
        <v>0</v>
      </c>
      <c r="O80" s="12">
        <f t="shared" si="33"/>
        <v>0</v>
      </c>
      <c r="P80" s="12">
        <f t="shared" si="33"/>
        <v>0</v>
      </c>
      <c r="Q80" s="12">
        <f t="shared" si="33"/>
        <v>0</v>
      </c>
      <c r="R80" s="12">
        <f t="shared" si="33"/>
        <v>0</v>
      </c>
      <c r="S80" s="54">
        <f t="shared" si="33"/>
        <v>0</v>
      </c>
      <c r="T80" s="380">
        <f>+Q80+Q74-SUM(T39:T45)</f>
        <v>0</v>
      </c>
    </row>
    <row r="81" spans="1:20" s="13" customFormat="1" ht="15" hidden="1" outlineLevel="1">
      <c r="A81" s="95"/>
      <c r="B81" s="80" t="s">
        <v>6</v>
      </c>
      <c r="C81" s="11">
        <v>625000</v>
      </c>
      <c r="D81" s="182">
        <f>+C81+C75-D49</f>
        <v>3125000</v>
      </c>
      <c r="E81" s="183">
        <f>+D81+D75-E49</f>
        <v>3125000</v>
      </c>
      <c r="F81" s="182">
        <v>3125000</v>
      </c>
      <c r="G81" s="183">
        <f>+F81-G49</f>
        <v>2500000</v>
      </c>
      <c r="H81" s="184">
        <f>+F81-H49</f>
        <v>2500000</v>
      </c>
      <c r="I81" s="225">
        <f aca="true" t="shared" si="34" ref="I81:Q81">+H81-I49</f>
        <v>1875000</v>
      </c>
      <c r="J81" s="12">
        <f t="shared" si="34"/>
        <v>1250000</v>
      </c>
      <c r="K81" s="34">
        <f t="shared" si="34"/>
        <v>625000</v>
      </c>
      <c r="L81" s="12">
        <f t="shared" si="34"/>
        <v>0</v>
      </c>
      <c r="M81" s="34">
        <f t="shared" si="34"/>
        <v>0</v>
      </c>
      <c r="N81" s="12">
        <f t="shared" si="34"/>
        <v>0</v>
      </c>
      <c r="O81" s="12">
        <f t="shared" si="34"/>
        <v>0</v>
      </c>
      <c r="P81" s="34">
        <f t="shared" si="34"/>
        <v>0</v>
      </c>
      <c r="Q81" s="12">
        <f t="shared" si="34"/>
        <v>0</v>
      </c>
      <c r="R81" s="12"/>
      <c r="S81" s="54"/>
      <c r="T81" s="380">
        <f>+Q81-T49</f>
        <v>0</v>
      </c>
    </row>
    <row r="82" spans="1:20" s="71" customFormat="1" ht="25.5" collapsed="1">
      <c r="A82" s="96" t="s">
        <v>80</v>
      </c>
      <c r="B82" s="274" t="s">
        <v>183</v>
      </c>
      <c r="C82" s="29"/>
      <c r="D82" s="185"/>
      <c r="E82" s="186"/>
      <c r="F82" s="185"/>
      <c r="G82" s="186"/>
      <c r="H82" s="187"/>
      <c r="I82" s="41"/>
      <c r="J82" s="30"/>
      <c r="K82" s="38"/>
      <c r="L82" s="30"/>
      <c r="M82" s="38"/>
      <c r="N82" s="30"/>
      <c r="O82" s="30"/>
      <c r="P82" s="38"/>
      <c r="Q82" s="30"/>
      <c r="R82" s="30"/>
      <c r="S82" s="55"/>
      <c r="T82" s="382"/>
    </row>
    <row r="83" spans="1:20" s="71" customFormat="1" ht="15">
      <c r="A83" s="363">
        <v>14</v>
      </c>
      <c r="B83" s="275" t="s">
        <v>184</v>
      </c>
      <c r="C83" s="29"/>
      <c r="D83" s="185"/>
      <c r="E83" s="186"/>
      <c r="F83" s="185"/>
      <c r="G83" s="186"/>
      <c r="H83" s="187"/>
      <c r="I83" s="41"/>
      <c r="J83" s="30"/>
      <c r="K83" s="38"/>
      <c r="L83" s="30"/>
      <c r="M83" s="38"/>
      <c r="N83" s="30"/>
      <c r="O83" s="30"/>
      <c r="P83" s="38"/>
      <c r="Q83" s="30"/>
      <c r="R83" s="30"/>
      <c r="S83" s="55"/>
      <c r="T83" s="382"/>
    </row>
    <row r="84" spans="1:20" s="66" customFormat="1" ht="38.25">
      <c r="A84" s="107">
        <f>14+1</f>
        <v>15</v>
      </c>
      <c r="B84" s="76" t="s">
        <v>51</v>
      </c>
      <c r="C84" s="70"/>
      <c r="D84" s="205"/>
      <c r="E84" s="205"/>
      <c r="F84" s="205"/>
      <c r="G84" s="221"/>
      <c r="H84" s="244"/>
      <c r="I84" s="322"/>
      <c r="J84" s="70"/>
      <c r="K84" s="118"/>
      <c r="L84" s="70"/>
      <c r="M84" s="118"/>
      <c r="N84" s="70"/>
      <c r="O84" s="70"/>
      <c r="P84" s="118"/>
      <c r="Q84" s="70"/>
      <c r="R84" s="70"/>
      <c r="S84" s="104"/>
      <c r="T84" s="392"/>
    </row>
    <row r="85" spans="1:20" s="66" customFormat="1" ht="25.5">
      <c r="A85" s="364">
        <v>16</v>
      </c>
      <c r="B85" s="275" t="s">
        <v>185</v>
      </c>
      <c r="C85" s="70"/>
      <c r="D85" s="205"/>
      <c r="E85" s="221"/>
      <c r="F85" s="205"/>
      <c r="G85" s="221"/>
      <c r="H85" s="244"/>
      <c r="I85" s="322"/>
      <c r="J85" s="70"/>
      <c r="K85" s="118"/>
      <c r="L85" s="70"/>
      <c r="M85" s="118"/>
      <c r="N85" s="70"/>
      <c r="O85" s="70"/>
      <c r="P85" s="118"/>
      <c r="Q85" s="70"/>
      <c r="R85" s="70"/>
      <c r="S85" s="104"/>
      <c r="T85" s="392"/>
    </row>
    <row r="86" spans="1:20" s="66" customFormat="1" ht="18.75">
      <c r="A86" s="365">
        <v>17</v>
      </c>
      <c r="B86" s="276" t="s">
        <v>186</v>
      </c>
      <c r="C86" s="70"/>
      <c r="D86" s="205"/>
      <c r="E86" s="221"/>
      <c r="F86" s="205"/>
      <c r="G86" s="221"/>
      <c r="H86" s="244"/>
      <c r="I86" s="322"/>
      <c r="J86" s="70"/>
      <c r="K86" s="118"/>
      <c r="L86" s="70"/>
      <c r="M86" s="118"/>
      <c r="N86" s="70"/>
      <c r="O86" s="70"/>
      <c r="P86" s="118"/>
      <c r="Q86" s="70"/>
      <c r="R86" s="70"/>
      <c r="S86" s="104"/>
      <c r="T86" s="392"/>
    </row>
    <row r="87" spans="1:20" s="66" customFormat="1" ht="25.5">
      <c r="A87" s="369" t="s">
        <v>187</v>
      </c>
      <c r="B87" s="277" t="s">
        <v>188</v>
      </c>
      <c r="C87" s="70"/>
      <c r="D87" s="205"/>
      <c r="E87" s="221"/>
      <c r="F87" s="205"/>
      <c r="G87" s="221"/>
      <c r="H87" s="244"/>
      <c r="I87" s="322"/>
      <c r="J87" s="70"/>
      <c r="K87" s="118"/>
      <c r="L87" s="70"/>
      <c r="M87" s="118"/>
      <c r="N87" s="70"/>
      <c r="O87" s="70"/>
      <c r="P87" s="118"/>
      <c r="Q87" s="70"/>
      <c r="R87" s="70"/>
      <c r="S87" s="104"/>
      <c r="T87" s="392"/>
    </row>
    <row r="88" spans="1:20" s="89" customFormat="1" ht="25.5">
      <c r="A88" s="107" t="s">
        <v>53</v>
      </c>
      <c r="B88" s="72" t="s">
        <v>54</v>
      </c>
      <c r="C88" s="9"/>
      <c r="D88" s="84">
        <f>(+D77-D82)/D8</f>
        <v>0.21980151557874847</v>
      </c>
      <c r="E88" s="86">
        <f aca="true" t="shared" si="35" ref="E88:J88">+E77/E8</f>
        <v>0.21280701669511032</v>
      </c>
      <c r="F88" s="87">
        <f t="shared" si="35"/>
        <v>0.20311048102412319</v>
      </c>
      <c r="G88" s="86">
        <f t="shared" si="35"/>
        <v>0.24317607793080395</v>
      </c>
      <c r="H88" s="105">
        <f t="shared" si="35"/>
        <v>0.24317607793080395</v>
      </c>
      <c r="I88" s="323">
        <f t="shared" si="35"/>
        <v>0.24764186488271986</v>
      </c>
      <c r="J88" s="87">
        <f t="shared" si="35"/>
        <v>0.1653107056562253</v>
      </c>
      <c r="K88" s="120" t="s">
        <v>29</v>
      </c>
      <c r="L88" s="88" t="s">
        <v>29</v>
      </c>
      <c r="M88" s="177" t="s">
        <v>29</v>
      </c>
      <c r="N88" s="177" t="s">
        <v>29</v>
      </c>
      <c r="O88" s="177" t="s">
        <v>29</v>
      </c>
      <c r="P88" s="177" t="s">
        <v>29</v>
      </c>
      <c r="Q88" s="177" t="s">
        <v>29</v>
      </c>
      <c r="R88" s="177" t="s">
        <v>29</v>
      </c>
      <c r="S88" s="178" t="s">
        <v>29</v>
      </c>
      <c r="T88" s="393" t="s">
        <v>29</v>
      </c>
    </row>
    <row r="89" spans="1:20" s="66" customFormat="1" ht="25.5">
      <c r="A89" s="370" t="s">
        <v>189</v>
      </c>
      <c r="B89" s="278" t="s">
        <v>190</v>
      </c>
      <c r="C89" s="70"/>
      <c r="D89" s="279">
        <v>0.21980151557874847</v>
      </c>
      <c r="E89" s="280">
        <v>0.21280701669511032</v>
      </c>
      <c r="F89" s="279">
        <v>0.20311048102412319</v>
      </c>
      <c r="G89" s="280">
        <v>0.24317607793080395</v>
      </c>
      <c r="H89" s="281">
        <v>0.24317607793080395</v>
      </c>
      <c r="I89" s="324">
        <v>0.24764186488271986</v>
      </c>
      <c r="J89" s="279">
        <v>0.1653107056562253</v>
      </c>
      <c r="K89" s="282" t="s">
        <v>29</v>
      </c>
      <c r="L89" s="283" t="s">
        <v>29</v>
      </c>
      <c r="M89" s="282" t="s">
        <v>29</v>
      </c>
      <c r="N89" s="283" t="s">
        <v>29</v>
      </c>
      <c r="O89" s="283" t="s">
        <v>29</v>
      </c>
      <c r="P89" s="282" t="s">
        <v>29</v>
      </c>
      <c r="Q89" s="283" t="s">
        <v>29</v>
      </c>
      <c r="R89" s="283" t="s">
        <v>29</v>
      </c>
      <c r="S89" s="284" t="s">
        <v>29</v>
      </c>
      <c r="T89" s="394" t="s">
        <v>29</v>
      </c>
    </row>
    <row r="90" spans="1:20" s="89" customFormat="1" ht="25.5">
      <c r="A90" s="107">
        <v>19</v>
      </c>
      <c r="B90" s="72" t="s">
        <v>83</v>
      </c>
      <c r="C90" s="9"/>
      <c r="D90" s="84">
        <f aca="true" t="shared" si="36" ref="D90:J90">(+D34+D23+D51-D24-D83)/D8</f>
        <v>0.06436919446602567</v>
      </c>
      <c r="E90" s="86">
        <f t="shared" si="36"/>
        <v>0.06275273496329249</v>
      </c>
      <c r="F90" s="87">
        <f t="shared" si="36"/>
        <v>0.05688333893193077</v>
      </c>
      <c r="G90" s="86">
        <f t="shared" si="36"/>
        <v>0.07620303250487633</v>
      </c>
      <c r="H90" s="105">
        <f t="shared" si="36"/>
        <v>0.07620303250487633</v>
      </c>
      <c r="I90" s="323">
        <f t="shared" si="36"/>
        <v>0.094085075366866</v>
      </c>
      <c r="J90" s="87">
        <f t="shared" si="36"/>
        <v>0.08618705286971265</v>
      </c>
      <c r="K90" s="120" t="s">
        <v>29</v>
      </c>
      <c r="L90" s="88" t="s">
        <v>29</v>
      </c>
      <c r="M90" s="177" t="s">
        <v>29</v>
      </c>
      <c r="N90" s="177" t="s">
        <v>29</v>
      </c>
      <c r="O90" s="177" t="s">
        <v>29</v>
      </c>
      <c r="P90" s="177" t="s">
        <v>29</v>
      </c>
      <c r="Q90" s="177" t="s">
        <v>29</v>
      </c>
      <c r="R90" s="177" t="s">
        <v>29</v>
      </c>
      <c r="S90" s="178" t="s">
        <v>29</v>
      </c>
      <c r="T90" s="393" t="s">
        <v>29</v>
      </c>
    </row>
    <row r="91" spans="1:20" s="66" customFormat="1" ht="25.5">
      <c r="A91" s="369" t="s">
        <v>191</v>
      </c>
      <c r="B91" s="285" t="s">
        <v>192</v>
      </c>
      <c r="C91" s="70"/>
      <c r="D91" s="279">
        <f aca="true" t="shared" si="37" ref="D91:J91">+D90</f>
        <v>0.06436919446602567</v>
      </c>
      <c r="E91" s="279">
        <f t="shared" si="37"/>
        <v>0.06275273496329249</v>
      </c>
      <c r="F91" s="279">
        <f t="shared" si="37"/>
        <v>0.05688333893193077</v>
      </c>
      <c r="G91" s="279">
        <f t="shared" si="37"/>
        <v>0.07620303250487633</v>
      </c>
      <c r="H91" s="281">
        <f t="shared" si="37"/>
        <v>0.07620303250487633</v>
      </c>
      <c r="I91" s="324">
        <f t="shared" si="37"/>
        <v>0.094085075366866</v>
      </c>
      <c r="J91" s="279">
        <f t="shared" si="37"/>
        <v>0.08618705286971265</v>
      </c>
      <c r="K91" s="282"/>
      <c r="L91" s="283"/>
      <c r="M91" s="282"/>
      <c r="N91" s="283"/>
      <c r="O91" s="283"/>
      <c r="P91" s="282"/>
      <c r="Q91" s="283"/>
      <c r="R91" s="283"/>
      <c r="S91" s="284"/>
      <c r="T91" s="394"/>
    </row>
    <row r="92" spans="1:20" s="65" customFormat="1" ht="25.5">
      <c r="A92" s="164">
        <v>20</v>
      </c>
      <c r="B92" s="165" t="s">
        <v>147</v>
      </c>
      <c r="C92" s="166"/>
      <c r="D92" s="169">
        <f aca="true" t="shared" si="38" ref="D92:T92">+(D9-D99+D16)/D8</f>
        <v>0.19118557703267003</v>
      </c>
      <c r="E92" s="170">
        <f t="shared" si="38"/>
        <v>0.13303036032201782</v>
      </c>
      <c r="F92" s="167">
        <f t="shared" si="38"/>
        <v>0.13791410749503666</v>
      </c>
      <c r="G92" s="168">
        <f t="shared" si="38"/>
        <v>0.07228659525967465</v>
      </c>
      <c r="H92" s="265">
        <f t="shared" si="38"/>
        <v>0.07228659525967465</v>
      </c>
      <c r="I92" s="325">
        <f t="shared" si="38"/>
        <v>0.08659910399650278</v>
      </c>
      <c r="J92" s="167">
        <f t="shared" si="38"/>
        <v>0.08930456761728622</v>
      </c>
      <c r="K92" s="168">
        <f t="shared" si="38"/>
        <v>0.16303018613332845</v>
      </c>
      <c r="L92" s="31">
        <f t="shared" si="38"/>
        <v>0.1840418397948976</v>
      </c>
      <c r="M92" s="119">
        <f t="shared" si="38"/>
        <v>0.21890334554139684</v>
      </c>
      <c r="N92" s="31">
        <f t="shared" si="38"/>
        <v>0.21706027275879544</v>
      </c>
      <c r="O92" s="31">
        <f t="shared" si="38"/>
        <v>0.21374766123323105</v>
      </c>
      <c r="P92" s="119">
        <f t="shared" si="38"/>
        <v>0.2100472400018806</v>
      </c>
      <c r="Q92" s="31">
        <f t="shared" si="38"/>
        <v>0.2063099611513999</v>
      </c>
      <c r="R92" s="31">
        <f t="shared" si="38"/>
        <v>0.20253581859747485</v>
      </c>
      <c r="S92" s="60">
        <f t="shared" si="38"/>
        <v>0.19872479645158264</v>
      </c>
      <c r="T92" s="395">
        <f t="shared" si="38"/>
        <v>0.19487682193758105</v>
      </c>
    </row>
    <row r="93" spans="1:20" s="65" customFormat="1" ht="18.75">
      <c r="A93" s="109" t="s">
        <v>193</v>
      </c>
      <c r="B93" s="77" t="s">
        <v>52</v>
      </c>
      <c r="C93" s="21">
        <f>+C77/C8*100</f>
        <v>20.89954893192599</v>
      </c>
      <c r="D93" s="47" t="s">
        <v>29</v>
      </c>
      <c r="E93" s="48" t="s">
        <v>29</v>
      </c>
      <c r="F93" s="31">
        <f>(1/3)*((C9+C16-C20)/C8+(D9+D16-D20)/D8+(E9+E16-E20)/E8)</f>
        <v>0.17219609672641578</v>
      </c>
      <c r="G93" s="119">
        <f>(1/3)*((D9+D16-D20)/D8+(E9+E16-E20)/E8+(G9+G16-G20)/G8)</f>
        <v>0.14476198980462807</v>
      </c>
      <c r="H93" s="60">
        <f>+(D92+E92+G92)/3</f>
        <v>0.13216751087145417</v>
      </c>
      <c r="I93" s="326">
        <f>+(E92+F92+H92)/3</f>
        <v>0.11441035435890971</v>
      </c>
      <c r="J93" s="31">
        <f>+(F92+H92+I92)/3</f>
        <v>0.09893326891707137</v>
      </c>
      <c r="K93" s="119">
        <f aca="true" t="shared" si="39" ref="K93:T93">+(H92+I92+J92)/3</f>
        <v>0.08273008895782122</v>
      </c>
      <c r="L93" s="31">
        <f t="shared" si="39"/>
        <v>0.11297795258237249</v>
      </c>
      <c r="M93" s="119">
        <f t="shared" si="39"/>
        <v>0.14545886451517076</v>
      </c>
      <c r="N93" s="31">
        <f t="shared" si="39"/>
        <v>0.18865845715654098</v>
      </c>
      <c r="O93" s="31">
        <f t="shared" si="39"/>
        <v>0.20666848603169663</v>
      </c>
      <c r="P93" s="119">
        <f t="shared" si="39"/>
        <v>0.2165704265111411</v>
      </c>
      <c r="Q93" s="31">
        <f t="shared" si="39"/>
        <v>0.21361839133130237</v>
      </c>
      <c r="R93" s="31">
        <f t="shared" si="39"/>
        <v>0.2100349541288372</v>
      </c>
      <c r="S93" s="60">
        <f t="shared" si="39"/>
        <v>0.2062976732502518</v>
      </c>
      <c r="T93" s="395">
        <f t="shared" si="39"/>
        <v>0.20252352540015248</v>
      </c>
    </row>
    <row r="94" spans="1:20" s="66" customFormat="1" ht="25.5">
      <c r="A94" s="107">
        <v>21</v>
      </c>
      <c r="B94" s="76" t="s">
        <v>194</v>
      </c>
      <c r="C94" s="9">
        <f>+C108+C51</f>
        <v>1732600</v>
      </c>
      <c r="D94" s="84">
        <f aca="true" t="shared" si="40" ref="D94:T94">+(D33+D23)/D8</f>
        <v>0.06436919446602567</v>
      </c>
      <c r="E94" s="84">
        <f t="shared" si="40"/>
        <v>0.06275273496329249</v>
      </c>
      <c r="F94" s="84">
        <f t="shared" si="40"/>
        <v>0.05688333893193077</v>
      </c>
      <c r="G94" s="84">
        <f t="shared" si="40"/>
        <v>0.07620303250487633</v>
      </c>
      <c r="H94" s="105">
        <f t="shared" si="40"/>
        <v>0.07620303250487633</v>
      </c>
      <c r="I94" s="293">
        <f t="shared" si="40"/>
        <v>0.094085075366866</v>
      </c>
      <c r="J94" s="84">
        <f t="shared" si="40"/>
        <v>0.08618705286971265</v>
      </c>
      <c r="K94" s="84">
        <f t="shared" si="40"/>
        <v>0.06209474098723979</v>
      </c>
      <c r="L94" s="84">
        <f t="shared" si="40"/>
        <v>0.05682089964888552</v>
      </c>
      <c r="M94" s="84">
        <f t="shared" si="40"/>
        <v>0.030773797369606067</v>
      </c>
      <c r="N94" s="84">
        <f t="shared" si="40"/>
        <v>0.012728222917451501</v>
      </c>
      <c r="O94" s="84">
        <f t="shared" si="40"/>
        <v>0.005008269131601731</v>
      </c>
      <c r="P94" s="84">
        <f t="shared" si="40"/>
        <v>0.004673956591001325</v>
      </c>
      <c r="Q94" s="84">
        <f t="shared" si="40"/>
        <v>0.004354229539589147</v>
      </c>
      <c r="R94" s="84">
        <f t="shared" si="40"/>
        <v>0.004048576540695538</v>
      </c>
      <c r="S94" s="105">
        <f t="shared" si="40"/>
        <v>0.0037564606867676303</v>
      </c>
      <c r="T94" s="396">
        <f t="shared" si="40"/>
        <v>0</v>
      </c>
    </row>
    <row r="95" spans="1:20" s="85" customFormat="1" ht="25.5">
      <c r="A95" s="115" t="s">
        <v>195</v>
      </c>
      <c r="B95" s="72" t="s">
        <v>84</v>
      </c>
      <c r="C95" s="301">
        <f>+C94/C8*100</f>
        <v>3.946654875144956</v>
      </c>
      <c r="D95" s="302" t="s">
        <v>29</v>
      </c>
      <c r="E95" s="302" t="s">
        <v>29</v>
      </c>
      <c r="F95" s="84" t="str">
        <f aca="true" t="shared" si="41" ref="F95:T95">IF(F94&lt;=F93,"Tak","Nie")</f>
        <v>Tak</v>
      </c>
      <c r="G95" s="84" t="str">
        <f t="shared" si="41"/>
        <v>Tak</v>
      </c>
      <c r="H95" s="298" t="str">
        <f t="shared" si="41"/>
        <v>Tak</v>
      </c>
      <c r="I95" s="293" t="str">
        <f t="shared" si="41"/>
        <v>Tak</v>
      </c>
      <c r="J95" s="84" t="str">
        <f t="shared" si="41"/>
        <v>Tak</v>
      </c>
      <c r="K95" s="84" t="str">
        <f t="shared" si="41"/>
        <v>Tak</v>
      </c>
      <c r="L95" s="84" t="str">
        <f t="shared" si="41"/>
        <v>Tak</v>
      </c>
      <c r="M95" s="84" t="str">
        <f t="shared" si="41"/>
        <v>Tak</v>
      </c>
      <c r="N95" s="84" t="str">
        <f t="shared" si="41"/>
        <v>Tak</v>
      </c>
      <c r="O95" s="84" t="str">
        <f t="shared" si="41"/>
        <v>Tak</v>
      </c>
      <c r="P95" s="84" t="str">
        <f t="shared" si="41"/>
        <v>Tak</v>
      </c>
      <c r="Q95" s="84" t="str">
        <f t="shared" si="41"/>
        <v>Tak</v>
      </c>
      <c r="R95" s="84" t="str">
        <f t="shared" si="41"/>
        <v>Tak</v>
      </c>
      <c r="S95" s="105" t="str">
        <f t="shared" si="41"/>
        <v>Tak</v>
      </c>
      <c r="T95" s="396" t="str">
        <f t="shared" si="41"/>
        <v>Tak</v>
      </c>
    </row>
    <row r="96" spans="1:20" s="65" customFormat="1" ht="25.5">
      <c r="A96" s="164">
        <v>22</v>
      </c>
      <c r="B96" s="77" t="s">
        <v>196</v>
      </c>
      <c r="C96" s="21"/>
      <c r="D96" s="303">
        <f aca="true" t="shared" si="42" ref="D96:T96">+(D33+D23+D84)/D8</f>
        <v>0.06436919446602567</v>
      </c>
      <c r="E96" s="303">
        <f t="shared" si="42"/>
        <v>0.06275273496329249</v>
      </c>
      <c r="F96" s="31">
        <f t="shared" si="42"/>
        <v>0.05688333893193077</v>
      </c>
      <c r="G96" s="31">
        <f t="shared" si="42"/>
        <v>0.07620303250487633</v>
      </c>
      <c r="H96" s="60">
        <f t="shared" si="42"/>
        <v>0.07620303250487633</v>
      </c>
      <c r="I96" s="326">
        <f t="shared" si="42"/>
        <v>0.094085075366866</v>
      </c>
      <c r="J96" s="31">
        <f t="shared" si="42"/>
        <v>0.08618705286971265</v>
      </c>
      <c r="K96" s="31">
        <f t="shared" si="42"/>
        <v>0.06209474098723979</v>
      </c>
      <c r="L96" s="31">
        <f t="shared" si="42"/>
        <v>0.05682089964888552</v>
      </c>
      <c r="M96" s="31">
        <f t="shared" si="42"/>
        <v>0.030773797369606067</v>
      </c>
      <c r="N96" s="31">
        <f t="shared" si="42"/>
        <v>0.012728222917451501</v>
      </c>
      <c r="O96" s="31">
        <f t="shared" si="42"/>
        <v>0.005008269131601731</v>
      </c>
      <c r="P96" s="31">
        <f t="shared" si="42"/>
        <v>0.004673956591001325</v>
      </c>
      <c r="Q96" s="31">
        <f t="shared" si="42"/>
        <v>0.004354229539589147</v>
      </c>
      <c r="R96" s="31">
        <f t="shared" si="42"/>
        <v>0.004048576540695538</v>
      </c>
      <c r="S96" s="60">
        <f t="shared" si="42"/>
        <v>0.0037564606867676303</v>
      </c>
      <c r="T96" s="395">
        <f t="shared" si="42"/>
        <v>0</v>
      </c>
    </row>
    <row r="97" spans="1:20" s="85" customFormat="1" ht="25.5">
      <c r="A97" s="286" t="s">
        <v>197</v>
      </c>
      <c r="B97" s="72" t="s">
        <v>198</v>
      </c>
      <c r="C97" s="301" t="e">
        <f>+C96/C10*100</f>
        <v>#DIV/0!</v>
      </c>
      <c r="D97" s="302" t="s">
        <v>29</v>
      </c>
      <c r="E97" s="302" t="s">
        <v>29</v>
      </c>
      <c r="F97" s="84" t="str">
        <f aca="true" t="shared" si="43" ref="F97:T97">IF(F96&lt;=F95,"Tak","Nie")</f>
        <v>Tak</v>
      </c>
      <c r="G97" s="84" t="str">
        <f t="shared" si="43"/>
        <v>Tak</v>
      </c>
      <c r="H97" s="298" t="str">
        <f t="shared" si="43"/>
        <v>Tak</v>
      </c>
      <c r="I97" s="293" t="str">
        <f t="shared" si="43"/>
        <v>Tak</v>
      </c>
      <c r="J97" s="84" t="str">
        <f t="shared" si="43"/>
        <v>Tak</v>
      </c>
      <c r="K97" s="84" t="str">
        <f t="shared" si="43"/>
        <v>Tak</v>
      </c>
      <c r="L97" s="84" t="str">
        <f t="shared" si="43"/>
        <v>Tak</v>
      </c>
      <c r="M97" s="84" t="str">
        <f t="shared" si="43"/>
        <v>Tak</v>
      </c>
      <c r="N97" s="84" t="str">
        <f t="shared" si="43"/>
        <v>Tak</v>
      </c>
      <c r="O97" s="84" t="str">
        <f t="shared" si="43"/>
        <v>Tak</v>
      </c>
      <c r="P97" s="84" t="str">
        <f t="shared" si="43"/>
        <v>Tak</v>
      </c>
      <c r="Q97" s="84" t="str">
        <f t="shared" si="43"/>
        <v>Tak</v>
      </c>
      <c r="R97" s="84" t="str">
        <f t="shared" si="43"/>
        <v>Tak</v>
      </c>
      <c r="S97" s="105" t="str">
        <f t="shared" si="43"/>
        <v>Tak</v>
      </c>
      <c r="T97" s="396" t="str">
        <f t="shared" si="43"/>
        <v>Tak</v>
      </c>
    </row>
    <row r="98" spans="1:20" s="174" customFormat="1" ht="15.75">
      <c r="A98" s="371">
        <v>23</v>
      </c>
      <c r="B98" s="288" t="s">
        <v>199</v>
      </c>
      <c r="C98" s="287">
        <f>+C9</f>
        <v>41573229</v>
      </c>
      <c r="D98" s="287">
        <f aca="true" t="shared" si="44" ref="D98:T98">+D9</f>
        <v>46467281.4</v>
      </c>
      <c r="E98" s="305">
        <f t="shared" si="44"/>
        <v>47318707.22</v>
      </c>
      <c r="F98" s="305">
        <f t="shared" si="44"/>
        <v>62727857.86</v>
      </c>
      <c r="G98" s="305">
        <f t="shared" si="44"/>
        <v>50706033.87</v>
      </c>
      <c r="H98" s="299">
        <f t="shared" si="44"/>
        <v>50706033.87</v>
      </c>
      <c r="I98" s="294">
        <f t="shared" si="44"/>
        <v>53952978</v>
      </c>
      <c r="J98" s="179">
        <f t="shared" si="44"/>
        <v>55141825</v>
      </c>
      <c r="K98" s="179">
        <f t="shared" si="44"/>
        <v>57022602</v>
      </c>
      <c r="L98" s="179">
        <f t="shared" si="44"/>
        <v>58941822</v>
      </c>
      <c r="M98" s="179">
        <f t="shared" si="44"/>
        <v>60710077</v>
      </c>
      <c r="N98" s="179">
        <f t="shared" si="44"/>
        <v>62531379</v>
      </c>
      <c r="O98" s="179">
        <f t="shared" si="44"/>
        <v>64407320</v>
      </c>
      <c r="P98" s="179">
        <f t="shared" si="44"/>
        <v>66339540</v>
      </c>
      <c r="Q98" s="179">
        <f t="shared" si="44"/>
        <v>68329726</v>
      </c>
      <c r="R98" s="179">
        <f t="shared" si="44"/>
        <v>70379618</v>
      </c>
      <c r="S98" s="400">
        <f t="shared" si="44"/>
        <v>72491007</v>
      </c>
      <c r="T98" s="397">
        <f t="shared" si="44"/>
        <v>74665737</v>
      </c>
    </row>
    <row r="99" spans="1:20" s="89" customFormat="1" ht="15.75">
      <c r="A99" s="107">
        <v>24</v>
      </c>
      <c r="B99" s="72" t="s">
        <v>55</v>
      </c>
      <c r="C99" s="206">
        <f aca="true" t="shared" si="45" ref="C99:T99">+C20+C51</f>
        <v>35295557</v>
      </c>
      <c r="D99" s="206">
        <f t="shared" si="45"/>
        <v>37763853.77</v>
      </c>
      <c r="E99" s="206">
        <f t="shared" si="45"/>
        <v>42325970.43</v>
      </c>
      <c r="F99" s="206">
        <f t="shared" si="45"/>
        <v>54171900.67000001</v>
      </c>
      <c r="G99" s="206">
        <f t="shared" si="45"/>
        <v>49571732.4</v>
      </c>
      <c r="H99" s="298">
        <f t="shared" si="45"/>
        <v>49571732.4</v>
      </c>
      <c r="I99" s="295">
        <f t="shared" si="45"/>
        <v>50754068</v>
      </c>
      <c r="J99" s="97">
        <f t="shared" si="45"/>
        <v>51458319.336</v>
      </c>
      <c r="K99" s="97">
        <f t="shared" si="45"/>
        <v>48340440</v>
      </c>
      <c r="L99" s="97">
        <f t="shared" si="45"/>
        <v>48529705</v>
      </c>
      <c r="M99" s="97">
        <f t="shared" si="45"/>
        <v>48763728</v>
      </c>
      <c r="N99" s="97">
        <f t="shared" si="45"/>
        <v>50307120</v>
      </c>
      <c r="O99" s="97">
        <f t="shared" si="45"/>
        <v>51999163</v>
      </c>
      <c r="P99" s="97">
        <f t="shared" si="45"/>
        <v>53774961</v>
      </c>
      <c r="Q99" s="97">
        <f t="shared" si="45"/>
        <v>55613693</v>
      </c>
      <c r="R99" s="97">
        <f t="shared" si="45"/>
        <v>57517617</v>
      </c>
      <c r="S99" s="106">
        <f t="shared" si="45"/>
        <v>59489072</v>
      </c>
      <c r="T99" s="398">
        <f t="shared" si="45"/>
        <v>61530485</v>
      </c>
    </row>
    <row r="100" spans="1:20" s="174" customFormat="1" ht="15.75">
      <c r="A100" s="372">
        <v>25</v>
      </c>
      <c r="B100" s="288" t="s">
        <v>200</v>
      </c>
      <c r="C100" s="287">
        <f>+C98-C99</f>
        <v>6277672</v>
      </c>
      <c r="D100" s="287">
        <f aca="true" t="shared" si="46" ref="D100:T100">+D98-D99</f>
        <v>8703427.629999995</v>
      </c>
      <c r="E100" s="305">
        <f t="shared" si="46"/>
        <v>4992736.789999999</v>
      </c>
      <c r="F100" s="305">
        <f t="shared" si="46"/>
        <v>8555957.18999999</v>
      </c>
      <c r="G100" s="305">
        <f t="shared" si="46"/>
        <v>1134301.4699999988</v>
      </c>
      <c r="H100" s="299">
        <f t="shared" si="46"/>
        <v>1134301.4699999988</v>
      </c>
      <c r="I100" s="294">
        <f t="shared" si="46"/>
        <v>3198910</v>
      </c>
      <c r="J100" s="179">
        <f t="shared" si="46"/>
        <v>3683505.663999997</v>
      </c>
      <c r="K100" s="179">
        <f t="shared" si="46"/>
        <v>8682162</v>
      </c>
      <c r="L100" s="179">
        <f t="shared" si="46"/>
        <v>10412117</v>
      </c>
      <c r="M100" s="179">
        <f t="shared" si="46"/>
        <v>11946349</v>
      </c>
      <c r="N100" s="179">
        <f t="shared" si="46"/>
        <v>12224259</v>
      </c>
      <c r="O100" s="179">
        <f t="shared" si="46"/>
        <v>12408157</v>
      </c>
      <c r="P100" s="179">
        <f t="shared" si="46"/>
        <v>12564579</v>
      </c>
      <c r="Q100" s="179">
        <f t="shared" si="46"/>
        <v>12716033</v>
      </c>
      <c r="R100" s="179">
        <f t="shared" si="46"/>
        <v>12862001</v>
      </c>
      <c r="S100" s="400">
        <f t="shared" si="46"/>
        <v>13001935</v>
      </c>
      <c r="T100" s="397">
        <f t="shared" si="46"/>
        <v>13135252</v>
      </c>
    </row>
    <row r="101" spans="1:20" s="174" customFormat="1" ht="15.75">
      <c r="A101" s="373"/>
      <c r="B101" s="288" t="s">
        <v>201</v>
      </c>
      <c r="C101" s="287">
        <f>+C15</f>
        <v>2327240</v>
      </c>
      <c r="D101" s="287">
        <f aca="true" t="shared" si="47" ref="D101:T101">+D15</f>
        <v>5056476.16</v>
      </c>
      <c r="E101" s="305">
        <f t="shared" si="47"/>
        <v>2515194.71</v>
      </c>
      <c r="F101" s="305">
        <f t="shared" si="47"/>
        <v>1143823.87</v>
      </c>
      <c r="G101" s="305">
        <f t="shared" si="47"/>
        <v>9184758.53</v>
      </c>
      <c r="H101" s="299">
        <f t="shared" si="47"/>
        <v>9184758.53</v>
      </c>
      <c r="I101" s="294">
        <f t="shared" si="47"/>
        <v>7005043</v>
      </c>
      <c r="J101" s="179">
        <f t="shared" si="47"/>
        <v>8500000</v>
      </c>
      <c r="K101" s="179">
        <f t="shared" si="47"/>
        <v>8500000</v>
      </c>
      <c r="L101" s="179">
        <f t="shared" si="47"/>
        <v>8500000</v>
      </c>
      <c r="M101" s="179">
        <f t="shared" si="47"/>
        <v>3000000</v>
      </c>
      <c r="N101" s="179">
        <f t="shared" si="47"/>
        <v>3000000</v>
      </c>
      <c r="O101" s="179">
        <f t="shared" si="47"/>
        <v>3000000</v>
      </c>
      <c r="P101" s="179">
        <f t="shared" si="47"/>
        <v>3000000</v>
      </c>
      <c r="Q101" s="179">
        <f t="shared" si="47"/>
        <v>3000000</v>
      </c>
      <c r="R101" s="179">
        <f t="shared" si="47"/>
        <v>3000000</v>
      </c>
      <c r="S101" s="400">
        <f t="shared" si="47"/>
        <v>3000000</v>
      </c>
      <c r="T101" s="397">
        <f t="shared" si="47"/>
        <v>3000000</v>
      </c>
    </row>
    <row r="102" spans="1:20" s="174" customFormat="1" ht="15.75">
      <c r="A102" s="373"/>
      <c r="B102" s="288" t="s">
        <v>202</v>
      </c>
      <c r="C102" s="287">
        <f>+C68</f>
        <v>14908607</v>
      </c>
      <c r="D102" s="287">
        <f aca="true" t="shared" si="48" ref="D102:T102">+D68</f>
        <v>11032828</v>
      </c>
      <c r="E102" s="305">
        <f t="shared" si="48"/>
        <v>11649712.47</v>
      </c>
      <c r="F102" s="305">
        <f t="shared" si="48"/>
        <v>9455466.88</v>
      </c>
      <c r="G102" s="305">
        <f t="shared" si="48"/>
        <v>14294134</v>
      </c>
      <c r="H102" s="299">
        <f t="shared" si="48"/>
        <v>13169217</v>
      </c>
      <c r="I102" s="294">
        <f t="shared" si="48"/>
        <v>10735703</v>
      </c>
      <c r="J102" s="179">
        <f t="shared" si="48"/>
        <v>7608422.72</v>
      </c>
      <c r="K102" s="179">
        <f t="shared" si="48"/>
        <v>13827087.44</v>
      </c>
      <c r="L102" s="179">
        <f t="shared" si="48"/>
        <v>15557042.44</v>
      </c>
      <c r="M102" s="179">
        <f t="shared" si="48"/>
        <v>13216274</v>
      </c>
      <c r="N102" s="179">
        <f t="shared" si="48"/>
        <v>14494184</v>
      </c>
      <c r="O102" s="179">
        <f t="shared" si="48"/>
        <v>15138082</v>
      </c>
      <c r="P102" s="179">
        <f t="shared" si="48"/>
        <v>15294504</v>
      </c>
      <c r="Q102" s="179">
        <f t="shared" si="48"/>
        <v>15445958</v>
      </c>
      <c r="R102" s="179">
        <f t="shared" si="48"/>
        <v>15591926</v>
      </c>
      <c r="S102" s="400">
        <f t="shared" si="48"/>
        <v>15731860</v>
      </c>
      <c r="T102" s="397">
        <f t="shared" si="48"/>
        <v>16135252</v>
      </c>
    </row>
    <row r="103" spans="1:20" s="174" customFormat="1" ht="15.75">
      <c r="A103" s="374"/>
      <c r="B103" s="288" t="s">
        <v>203</v>
      </c>
      <c r="C103" s="287">
        <f>+C101-C102</f>
        <v>-12581367</v>
      </c>
      <c r="D103" s="287">
        <f aca="true" t="shared" si="49" ref="D103:T103">+D101-D102</f>
        <v>-5976351.84</v>
      </c>
      <c r="E103" s="305">
        <f t="shared" si="49"/>
        <v>-9134517.760000002</v>
      </c>
      <c r="F103" s="305">
        <f t="shared" si="49"/>
        <v>-8311643.010000001</v>
      </c>
      <c r="G103" s="305">
        <f t="shared" si="49"/>
        <v>-5109375.470000001</v>
      </c>
      <c r="H103" s="299">
        <f t="shared" si="49"/>
        <v>-3984458.4700000007</v>
      </c>
      <c r="I103" s="294">
        <f t="shared" si="49"/>
        <v>-3730660</v>
      </c>
      <c r="J103" s="179">
        <f t="shared" si="49"/>
        <v>891577.2800000003</v>
      </c>
      <c r="K103" s="179">
        <f t="shared" si="49"/>
        <v>-5327087.4399999995</v>
      </c>
      <c r="L103" s="179">
        <f t="shared" si="49"/>
        <v>-7057042.4399999995</v>
      </c>
      <c r="M103" s="179">
        <f t="shared" si="49"/>
        <v>-10216274</v>
      </c>
      <c r="N103" s="179">
        <f t="shared" si="49"/>
        <v>-11494184</v>
      </c>
      <c r="O103" s="179">
        <f t="shared" si="49"/>
        <v>-12138082</v>
      </c>
      <c r="P103" s="179">
        <f t="shared" si="49"/>
        <v>-12294504</v>
      </c>
      <c r="Q103" s="179">
        <f t="shared" si="49"/>
        <v>-12445958</v>
      </c>
      <c r="R103" s="179">
        <f t="shared" si="49"/>
        <v>-12591926</v>
      </c>
      <c r="S103" s="400">
        <f t="shared" si="49"/>
        <v>-12731860</v>
      </c>
      <c r="T103" s="397">
        <f t="shared" si="49"/>
        <v>-13135252</v>
      </c>
    </row>
    <row r="104" spans="1:20" ht="18.75">
      <c r="A104" s="375">
        <v>26</v>
      </c>
      <c r="B104" s="304" t="s">
        <v>204</v>
      </c>
      <c r="C104" s="287">
        <f>+C8</f>
        <v>43900469</v>
      </c>
      <c r="D104" s="287">
        <f aca="true" t="shared" si="50" ref="D104:T104">+D8</f>
        <v>51523757.56</v>
      </c>
      <c r="E104" s="305">
        <f t="shared" si="50"/>
        <v>49833901.93</v>
      </c>
      <c r="F104" s="305">
        <f t="shared" si="50"/>
        <v>63871681.73</v>
      </c>
      <c r="G104" s="305">
        <f t="shared" si="50"/>
        <v>59890792.4</v>
      </c>
      <c r="H104" s="299">
        <f t="shared" si="50"/>
        <v>59890792.4</v>
      </c>
      <c r="I104" s="294">
        <f t="shared" si="50"/>
        <v>60958021</v>
      </c>
      <c r="J104" s="179">
        <f t="shared" si="50"/>
        <v>63641825</v>
      </c>
      <c r="K104" s="179">
        <f t="shared" si="50"/>
        <v>65522602</v>
      </c>
      <c r="L104" s="179">
        <f t="shared" si="50"/>
        <v>67441822</v>
      </c>
      <c r="M104" s="179">
        <f t="shared" si="50"/>
        <v>63710077</v>
      </c>
      <c r="N104" s="179">
        <f t="shared" si="50"/>
        <v>65531379</v>
      </c>
      <c r="O104" s="179">
        <f t="shared" si="50"/>
        <v>67407320</v>
      </c>
      <c r="P104" s="179">
        <f t="shared" si="50"/>
        <v>69339540</v>
      </c>
      <c r="Q104" s="179">
        <f t="shared" si="50"/>
        <v>71329726</v>
      </c>
      <c r="R104" s="179">
        <f t="shared" si="50"/>
        <v>73379618</v>
      </c>
      <c r="S104" s="400">
        <f t="shared" si="50"/>
        <v>75491007</v>
      </c>
      <c r="T104" s="306">
        <f t="shared" si="50"/>
        <v>77665737</v>
      </c>
    </row>
    <row r="105" spans="1:20" s="25" customFormat="1" ht="15.75">
      <c r="A105" s="90">
        <v>27</v>
      </c>
      <c r="B105" s="72" t="s">
        <v>205</v>
      </c>
      <c r="C105" s="9">
        <f>+C20+C68</f>
        <v>50016564</v>
      </c>
      <c r="D105" s="180">
        <f aca="true" t="shared" si="51" ref="D105:T105">+D68+D99</f>
        <v>48796681.77</v>
      </c>
      <c r="E105" s="180">
        <f t="shared" si="51"/>
        <v>53975682.9</v>
      </c>
      <c r="F105" s="180">
        <f t="shared" si="51"/>
        <v>63627367.55000001</v>
      </c>
      <c r="G105" s="180">
        <f t="shared" si="51"/>
        <v>63865866.4</v>
      </c>
      <c r="H105" s="222">
        <f t="shared" si="51"/>
        <v>62740949.4</v>
      </c>
      <c r="I105" s="296">
        <f t="shared" si="51"/>
        <v>61489771</v>
      </c>
      <c r="J105" s="10">
        <f t="shared" si="51"/>
        <v>59066742.056</v>
      </c>
      <c r="K105" s="10">
        <f t="shared" si="51"/>
        <v>62167527.44</v>
      </c>
      <c r="L105" s="10">
        <f t="shared" si="51"/>
        <v>64086747.44</v>
      </c>
      <c r="M105" s="10">
        <f t="shared" si="51"/>
        <v>61980002</v>
      </c>
      <c r="N105" s="10">
        <f t="shared" si="51"/>
        <v>64801304</v>
      </c>
      <c r="O105" s="10">
        <f t="shared" si="51"/>
        <v>67137245</v>
      </c>
      <c r="P105" s="10">
        <f t="shared" si="51"/>
        <v>69069465</v>
      </c>
      <c r="Q105" s="10">
        <f t="shared" si="51"/>
        <v>71059651</v>
      </c>
      <c r="R105" s="10">
        <f t="shared" si="51"/>
        <v>73109543</v>
      </c>
      <c r="S105" s="53">
        <f t="shared" si="51"/>
        <v>75220932</v>
      </c>
      <c r="T105" s="379">
        <f t="shared" si="51"/>
        <v>77665737</v>
      </c>
    </row>
    <row r="106" spans="1:20" s="25" customFormat="1" ht="15.75">
      <c r="A106" s="107">
        <v>28</v>
      </c>
      <c r="B106" s="72" t="s">
        <v>206</v>
      </c>
      <c r="C106" s="10">
        <f aca="true" t="shared" si="52" ref="C106:T106">+C8-C105</f>
        <v>-6116095</v>
      </c>
      <c r="D106" s="180">
        <f t="shared" si="52"/>
        <v>2727075.789999999</v>
      </c>
      <c r="E106" s="180">
        <f t="shared" si="52"/>
        <v>-4141780.969999999</v>
      </c>
      <c r="F106" s="180">
        <f t="shared" si="52"/>
        <v>244314.1799999848</v>
      </c>
      <c r="G106" s="180">
        <f t="shared" si="52"/>
        <v>-3975074</v>
      </c>
      <c r="H106" s="222">
        <f t="shared" si="52"/>
        <v>-2850157</v>
      </c>
      <c r="I106" s="296">
        <f t="shared" si="52"/>
        <v>-531750</v>
      </c>
      <c r="J106" s="10">
        <f t="shared" si="52"/>
        <v>4575082.943999998</v>
      </c>
      <c r="K106" s="10">
        <f t="shared" si="52"/>
        <v>3355074.5600000024</v>
      </c>
      <c r="L106" s="10">
        <f t="shared" si="52"/>
        <v>3355074.5600000024</v>
      </c>
      <c r="M106" s="10">
        <f t="shared" si="52"/>
        <v>1730075</v>
      </c>
      <c r="N106" s="10">
        <f t="shared" si="52"/>
        <v>730075</v>
      </c>
      <c r="O106" s="10">
        <f t="shared" si="52"/>
        <v>270075</v>
      </c>
      <c r="P106" s="10">
        <f t="shared" si="52"/>
        <v>270075</v>
      </c>
      <c r="Q106" s="10">
        <f t="shared" si="52"/>
        <v>270075</v>
      </c>
      <c r="R106" s="10">
        <f t="shared" si="52"/>
        <v>270075</v>
      </c>
      <c r="S106" s="53">
        <f t="shared" si="52"/>
        <v>270075</v>
      </c>
      <c r="T106" s="379">
        <f t="shared" si="52"/>
        <v>0</v>
      </c>
    </row>
    <row r="107" spans="1:20" s="25" customFormat="1" ht="15.75">
      <c r="A107" s="90">
        <v>29</v>
      </c>
      <c r="B107" s="72" t="s">
        <v>81</v>
      </c>
      <c r="C107" s="11"/>
      <c r="D107" s="180">
        <f>+D28+D30+D72</f>
        <v>6042052</v>
      </c>
      <c r="E107" s="180">
        <f aca="true" t="shared" si="53" ref="E107:Q107">+E28+E30+E72</f>
        <v>7797962</v>
      </c>
      <c r="F107" s="180">
        <f t="shared" si="53"/>
        <v>6656185.12</v>
      </c>
      <c r="G107" s="180">
        <f>+G28+G30+G72</f>
        <v>7451974</v>
      </c>
      <c r="H107" s="222">
        <f t="shared" si="53"/>
        <v>7451974</v>
      </c>
      <c r="I107" s="296">
        <f t="shared" si="53"/>
        <v>5000750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t="shared" si="53"/>
        <v>0</v>
      </c>
      <c r="Q107" s="10">
        <f t="shared" si="53"/>
        <v>0</v>
      </c>
      <c r="R107" s="10">
        <f>+R28+R30+R72</f>
        <v>0</v>
      </c>
      <c r="S107" s="53">
        <f>+S28+S30+S72</f>
        <v>0</v>
      </c>
      <c r="T107" s="379">
        <f>+T28+T30+T72</f>
        <v>0</v>
      </c>
    </row>
    <row r="108" spans="1:20" s="6" customFormat="1" ht="16.5" thickBot="1">
      <c r="A108" s="289">
        <v>30</v>
      </c>
      <c r="B108" s="83" t="s">
        <v>82</v>
      </c>
      <c r="C108" s="111">
        <f>SUM(C36:C50)</f>
        <v>1545000</v>
      </c>
      <c r="D108" s="207">
        <f>+D34+D66</f>
        <v>2850000</v>
      </c>
      <c r="E108" s="207">
        <f aca="true" t="shared" si="54" ref="E108:Q108">+E34+E66</f>
        <v>2599996</v>
      </c>
      <c r="F108" s="207">
        <f t="shared" si="54"/>
        <v>3231996</v>
      </c>
      <c r="G108" s="207">
        <f>+G34+G66</f>
        <v>3476900</v>
      </c>
      <c r="H108" s="300">
        <f t="shared" si="54"/>
        <v>3476900</v>
      </c>
      <c r="I108" s="297">
        <f t="shared" si="54"/>
        <v>4469000</v>
      </c>
      <c r="J108" s="112">
        <f t="shared" si="54"/>
        <v>4575083</v>
      </c>
      <c r="K108" s="112">
        <f t="shared" si="54"/>
        <v>3355075</v>
      </c>
      <c r="L108" s="112">
        <f t="shared" si="54"/>
        <v>3355075</v>
      </c>
      <c r="M108" s="112">
        <f t="shared" si="54"/>
        <v>1730075</v>
      </c>
      <c r="N108" s="112">
        <f t="shared" si="54"/>
        <v>730075</v>
      </c>
      <c r="O108" s="112">
        <f t="shared" si="54"/>
        <v>270075</v>
      </c>
      <c r="P108" s="112">
        <f t="shared" si="54"/>
        <v>270075</v>
      </c>
      <c r="Q108" s="112">
        <f t="shared" si="54"/>
        <v>270075</v>
      </c>
      <c r="R108" s="112">
        <f>+R34+R66</f>
        <v>270075</v>
      </c>
      <c r="S108" s="113">
        <f>+S34+S66</f>
        <v>270075</v>
      </c>
      <c r="T108" s="399">
        <f>+T34+T66</f>
        <v>0</v>
      </c>
    </row>
    <row r="110" spans="1:19" s="13" customFormat="1" ht="15.75">
      <c r="A110" s="43"/>
      <c r="B110" s="82"/>
      <c r="C110" s="45"/>
      <c r="D110" s="45"/>
      <c r="E110" s="45"/>
      <c r="F110" s="46"/>
      <c r="G110" s="46"/>
      <c r="H110" s="49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20" s="13" customFormat="1" ht="30" customHeight="1">
      <c r="A111" s="43"/>
      <c r="B111" s="44"/>
      <c r="C111" s="45"/>
      <c r="D111" s="114">
        <f>+D106+D107-D108</f>
        <v>5919127.789999999</v>
      </c>
      <c r="E111" s="114">
        <f>+E106+E107-E108</f>
        <v>1056185.0300000012</v>
      </c>
      <c r="F111" s="114">
        <f aca="true" t="shared" si="55" ref="F111:T111">+F106+F107-F108</f>
        <v>3668503.299999985</v>
      </c>
      <c r="G111" s="114">
        <f t="shared" si="55"/>
        <v>0</v>
      </c>
      <c r="H111" s="215">
        <f t="shared" si="55"/>
        <v>1124917</v>
      </c>
      <c r="I111" s="114">
        <f t="shared" si="55"/>
        <v>0</v>
      </c>
      <c r="J111" s="114">
        <f t="shared" si="55"/>
        <v>-0.0560000017285347</v>
      </c>
      <c r="K111" s="114">
        <f t="shared" si="55"/>
        <v>-0.4399999976158142</v>
      </c>
      <c r="L111" s="114">
        <f t="shared" si="55"/>
        <v>-0.4399999976158142</v>
      </c>
      <c r="M111" s="114">
        <f t="shared" si="55"/>
        <v>0</v>
      </c>
      <c r="N111" s="114">
        <f t="shared" si="55"/>
        <v>0</v>
      </c>
      <c r="O111" s="114">
        <f t="shared" si="55"/>
        <v>0</v>
      </c>
      <c r="P111" s="114">
        <f t="shared" si="55"/>
        <v>0</v>
      </c>
      <c r="Q111" s="114">
        <f t="shared" si="55"/>
        <v>0</v>
      </c>
      <c r="R111" s="114">
        <f t="shared" si="55"/>
        <v>0</v>
      </c>
      <c r="S111" s="114">
        <f t="shared" si="55"/>
        <v>0</v>
      </c>
      <c r="T111" s="114">
        <f t="shared" si="55"/>
        <v>0</v>
      </c>
    </row>
    <row r="112" spans="1:19" s="13" customFormat="1" ht="30" customHeight="1">
      <c r="A112" s="43"/>
      <c r="B112" s="44"/>
      <c r="C112" s="45"/>
      <c r="D112" s="45"/>
      <c r="E112" s="45"/>
      <c r="F112" s="49"/>
      <c r="G112" s="49"/>
      <c r="H112" s="49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13" customFormat="1" ht="30" customHeight="1">
      <c r="A113" s="43"/>
      <c r="B113" s="44"/>
      <c r="C113" s="45"/>
      <c r="D113" s="45"/>
      <c r="E113" s="45"/>
      <c r="F113" s="49"/>
      <c r="G113" s="49"/>
      <c r="H113" s="49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s="13" customFormat="1" ht="30" customHeight="1">
      <c r="A114" s="43"/>
      <c r="B114" s="44"/>
      <c r="C114" s="45"/>
      <c r="D114" s="45"/>
      <c r="E114" s="45"/>
      <c r="F114" s="49"/>
      <c r="G114" s="49"/>
      <c r="H114" s="49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s="13" customFormat="1" ht="30" customHeight="1">
      <c r="A115" s="43"/>
      <c r="B115" s="44"/>
      <c r="C115" s="45"/>
      <c r="D115" s="45"/>
      <c r="E115" s="45"/>
      <c r="F115" s="49"/>
      <c r="G115" s="49"/>
      <c r="H115" s="49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s="13" customFormat="1" ht="30" customHeight="1">
      <c r="A116" s="43"/>
      <c r="B116" s="44"/>
      <c r="C116" s="45"/>
      <c r="D116" s="45"/>
      <c r="E116" s="45"/>
      <c r="F116" s="46"/>
      <c r="G116" s="46"/>
      <c r="H116" s="49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s="13" customFormat="1" ht="30" customHeight="1">
      <c r="A117" s="43"/>
      <c r="B117" s="44"/>
      <c r="C117" s="45"/>
      <c r="D117" s="45"/>
      <c r="E117" s="45"/>
      <c r="F117" s="46"/>
      <c r="G117" s="46"/>
      <c r="H117" s="49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s="13" customFormat="1" ht="30" customHeight="1">
      <c r="A118" s="43"/>
      <c r="B118" s="44"/>
      <c r="C118" s="45"/>
      <c r="D118" s="45"/>
      <c r="E118" s="45"/>
      <c r="F118" s="46"/>
      <c r="G118" s="46"/>
      <c r="H118" s="49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s="13" customFormat="1" ht="30" customHeight="1">
      <c r="A119" s="43"/>
      <c r="B119" s="44"/>
      <c r="C119" s="45"/>
      <c r="D119" s="45"/>
      <c r="E119" s="45"/>
      <c r="F119" s="46"/>
      <c r="G119" s="46"/>
      <c r="H119" s="49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s="13" customFormat="1" ht="30" customHeight="1">
      <c r="A120" s="43"/>
      <c r="B120" s="44"/>
      <c r="C120" s="45"/>
      <c r="D120" s="45"/>
      <c r="E120" s="45"/>
      <c r="F120" s="46"/>
      <c r="G120" s="46"/>
      <c r="H120" s="49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6:19" ht="18.75">
      <c r="F121" s="26">
        <f>+F8-F105+F72-F108</f>
        <v>2612318.179999985</v>
      </c>
      <c r="G121" s="26"/>
      <c r="H121" s="27">
        <f aca="true" t="shared" si="56" ref="H121:Q121">+H8-H105+H72-H108</f>
        <v>-1259157</v>
      </c>
      <c r="I121" s="26">
        <f t="shared" si="56"/>
        <v>0</v>
      </c>
      <c r="J121" s="26">
        <f t="shared" si="56"/>
        <v>-0.0560000017285347</v>
      </c>
      <c r="K121" s="26">
        <f t="shared" si="56"/>
        <v>-0.4399999976158142</v>
      </c>
      <c r="L121" s="26">
        <f t="shared" si="56"/>
        <v>-0.4399999976158142</v>
      </c>
      <c r="M121" s="26">
        <f t="shared" si="56"/>
        <v>0</v>
      </c>
      <c r="N121" s="26">
        <f t="shared" si="56"/>
        <v>0</v>
      </c>
      <c r="O121" s="26">
        <f t="shared" si="56"/>
        <v>0</v>
      </c>
      <c r="P121" s="26">
        <f t="shared" si="56"/>
        <v>0</v>
      </c>
      <c r="Q121" s="26">
        <f t="shared" si="56"/>
        <v>0</v>
      </c>
      <c r="R121" s="26"/>
      <c r="S121" s="26"/>
    </row>
    <row r="122" spans="8:12" ht="18.75">
      <c r="H122" s="27">
        <f>+F77-H108</f>
        <v>9496108</v>
      </c>
      <c r="I122" s="26">
        <f>+H77-I108</f>
        <v>10095008</v>
      </c>
      <c r="J122" s="26">
        <f>+I77-J108</f>
        <v>10520675</v>
      </c>
      <c r="K122" s="26">
        <f>+J77-K108</f>
        <v>7165600</v>
      </c>
      <c r="L122" s="26">
        <f>+K77-L108</f>
        <v>3810525</v>
      </c>
    </row>
    <row r="123" ht="18.75">
      <c r="C123" s="27"/>
    </row>
    <row r="124" spans="2:12" ht="18.75">
      <c r="B124" s="5"/>
      <c r="C124" s="27"/>
      <c r="D124" s="26"/>
      <c r="E124" s="26"/>
      <c r="F124" s="26"/>
      <c r="G124" s="26"/>
      <c r="I124" s="26"/>
      <c r="J124" s="26"/>
      <c r="K124" s="26"/>
      <c r="L124" s="26"/>
    </row>
    <row r="125" spans="2:12" ht="18.75">
      <c r="B125" s="5" t="s">
        <v>25</v>
      </c>
      <c r="C125" s="27"/>
      <c r="D125" s="26">
        <v>51523758</v>
      </c>
      <c r="E125" s="26">
        <v>49833902</v>
      </c>
      <c r="F125" s="26">
        <v>54427991</v>
      </c>
      <c r="G125" s="26"/>
      <c r="H125" s="27">
        <v>54691780</v>
      </c>
      <c r="I125" s="26">
        <v>55091530</v>
      </c>
      <c r="J125" s="26">
        <v>55518280</v>
      </c>
      <c r="K125" s="26">
        <v>55772830</v>
      </c>
      <c r="L125" s="26">
        <v>55956010</v>
      </c>
    </row>
    <row r="126" spans="2:12" ht="18.75">
      <c r="B126" s="42" t="s">
        <v>26</v>
      </c>
      <c r="C126" s="42"/>
      <c r="D126" s="32">
        <f>+D125-D8</f>
        <v>0.4399999976158142</v>
      </c>
      <c r="E126" s="32">
        <f>+E125-E8</f>
        <v>0.07000000029802322</v>
      </c>
      <c r="F126" s="32">
        <f>+F125-F8</f>
        <v>-9443690.729999997</v>
      </c>
      <c r="G126" s="32"/>
      <c r="H126" s="216">
        <f>+H125-H8</f>
        <v>-5199012.3999999985</v>
      </c>
      <c r="I126" s="32">
        <f>+I125-I8</f>
        <v>-5866491</v>
      </c>
      <c r="J126" s="32">
        <f>+J125-J8</f>
        <v>-8123545</v>
      </c>
      <c r="K126" s="32">
        <f>+K125-K8</f>
        <v>-9749772</v>
      </c>
      <c r="L126" s="32">
        <f>+L125-L8</f>
        <v>-11485812</v>
      </c>
    </row>
    <row r="128" spans="2:12" ht="18.75">
      <c r="B128" t="s">
        <v>27</v>
      </c>
      <c r="F128">
        <v>57687891</v>
      </c>
      <c r="H128" s="27">
        <v>51042780</v>
      </c>
      <c r="I128">
        <v>51442530</v>
      </c>
      <c r="J128">
        <v>52493280</v>
      </c>
      <c r="K128">
        <v>54147830</v>
      </c>
      <c r="L128">
        <v>54331010</v>
      </c>
    </row>
    <row r="129" spans="2:12" ht="18.75">
      <c r="B129" s="42" t="s">
        <v>28</v>
      </c>
      <c r="C129" s="42"/>
      <c r="D129" s="42"/>
      <c r="E129" s="42"/>
      <c r="F129" s="32">
        <f aca="true" t="shared" si="57" ref="F129:L129">+F128-F105</f>
        <v>-5939476.550000012</v>
      </c>
      <c r="G129" s="32"/>
      <c r="H129" s="216">
        <f t="shared" si="57"/>
        <v>-11698169.399999999</v>
      </c>
      <c r="I129" s="32">
        <f t="shared" si="57"/>
        <v>-10047241</v>
      </c>
      <c r="J129" s="32">
        <f t="shared" si="57"/>
        <v>-6573462.056000002</v>
      </c>
      <c r="K129" s="32">
        <f t="shared" si="57"/>
        <v>-8019697.439999998</v>
      </c>
      <c r="L129" s="32">
        <f t="shared" si="57"/>
        <v>-9755737.439999998</v>
      </c>
    </row>
  </sheetData>
  <mergeCells count="5">
    <mergeCell ref="A3:J3"/>
    <mergeCell ref="A6:A7"/>
    <mergeCell ref="B6:B7"/>
    <mergeCell ref="C6:C7"/>
    <mergeCell ref="E6:F6"/>
  </mergeCells>
  <printOptions horizontalCentered="1"/>
  <pageMargins left="0.1968503937007874" right="0.1968503937007874" top="0.2362204724409449" bottom="0.3937007874015748" header="0.15748031496062992" footer="0.15748031496062992"/>
  <pageSetup fitToHeight="4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view="pageBreakPreview" zoomScaleSheetLayoutView="100" workbookViewId="0" topLeftCell="A70">
      <selection activeCell="F2" sqref="F2"/>
    </sheetView>
  </sheetViews>
  <sheetFormatPr defaultColWidth="8.88671875" defaultRowHeight="18.75"/>
  <cols>
    <col min="1" max="1" width="28.99609375" style="13" customWidth="1"/>
    <col min="2" max="2" width="12.10546875" style="13" customWidth="1"/>
    <col min="3" max="3" width="7.5546875" style="13" customWidth="1"/>
    <col min="4" max="4" width="7.21484375" style="13" customWidth="1"/>
    <col min="5" max="6" width="6.4453125" style="13" customWidth="1"/>
    <col min="7" max="7" width="9.5546875" style="22" customWidth="1"/>
    <col min="8" max="8" width="9.5546875" style="13" customWidth="1"/>
    <col min="9" max="9" width="7.88671875" style="13" hidden="1" customWidth="1"/>
    <col min="10" max="12" width="7.88671875" style="13" bestFit="1" customWidth="1"/>
    <col min="13" max="13" width="7.88671875" style="13" customWidth="1"/>
    <col min="14" max="14" width="7.88671875" style="13" bestFit="1" customWidth="1"/>
    <col min="15" max="15" width="9.6640625" style="13" customWidth="1"/>
    <col min="16" max="20" width="8.88671875" style="13" customWidth="1"/>
    <col min="21" max="21" width="8.6640625" style="13" customWidth="1"/>
    <col min="22" max="16384" width="8.88671875" style="13" customWidth="1"/>
  </cols>
  <sheetData>
    <row r="1" ht="15.75">
      <c r="L1" s="174" t="s">
        <v>152</v>
      </c>
    </row>
    <row r="2" ht="15.75">
      <c r="L2" s="174" t="s">
        <v>156</v>
      </c>
    </row>
    <row r="3" ht="15.75">
      <c r="L3" s="174" t="s">
        <v>151</v>
      </c>
    </row>
    <row r="4" spans="3:12" ht="18">
      <c r="C4" s="173" t="s">
        <v>207</v>
      </c>
      <c r="L4" s="174" t="s">
        <v>158</v>
      </c>
    </row>
    <row r="5" spans="1:15" ht="13.5" thickBot="1">
      <c r="A5" s="99"/>
      <c r="B5" s="100"/>
      <c r="C5" s="100"/>
      <c r="D5" s="100"/>
      <c r="E5" s="100"/>
      <c r="F5" s="100"/>
      <c r="G5" s="121"/>
      <c r="H5" s="100"/>
      <c r="I5" s="100"/>
      <c r="J5" s="100"/>
      <c r="K5" s="100"/>
      <c r="L5" s="100"/>
      <c r="M5" s="100"/>
      <c r="N5" s="100"/>
      <c r="O5" s="100"/>
    </row>
    <row r="6" spans="1:21" ht="25.5" customHeight="1">
      <c r="A6" s="426" t="s">
        <v>85</v>
      </c>
      <c r="B6" s="426" t="s">
        <v>86</v>
      </c>
      <c r="C6" s="426" t="s">
        <v>87</v>
      </c>
      <c r="D6" s="426"/>
      <c r="E6" s="426" t="s">
        <v>88</v>
      </c>
      <c r="F6" s="426"/>
      <c r="G6" s="426" t="s">
        <v>89</v>
      </c>
      <c r="H6" s="426" t="s">
        <v>90</v>
      </c>
      <c r="J6" s="307" t="s">
        <v>91</v>
      </c>
      <c r="K6" s="308"/>
      <c r="L6" s="308"/>
      <c r="M6" s="308"/>
      <c r="N6" s="309"/>
      <c r="O6" s="426" t="s">
        <v>92</v>
      </c>
      <c r="P6" s="427" t="s">
        <v>93</v>
      </c>
      <c r="Q6" s="428"/>
      <c r="R6" s="428"/>
      <c r="S6" s="428"/>
      <c r="T6" s="428"/>
      <c r="U6" s="430" t="s">
        <v>94</v>
      </c>
    </row>
    <row r="7" spans="1:21" ht="28.5" customHeight="1">
      <c r="A7" s="426"/>
      <c r="B7" s="426"/>
      <c r="C7" s="426" t="s">
        <v>95</v>
      </c>
      <c r="D7" s="426"/>
      <c r="E7" s="426"/>
      <c r="F7" s="426"/>
      <c r="G7" s="426"/>
      <c r="H7" s="426"/>
      <c r="I7" s="310"/>
      <c r="J7" s="311"/>
      <c r="K7" s="311"/>
      <c r="L7" s="311"/>
      <c r="M7" s="311"/>
      <c r="N7" s="312"/>
      <c r="O7" s="426"/>
      <c r="P7" s="429"/>
      <c r="Q7" s="426"/>
      <c r="R7" s="426"/>
      <c r="S7" s="426"/>
      <c r="T7" s="426"/>
      <c r="U7" s="431"/>
    </row>
    <row r="8" spans="1:21" ht="12.75">
      <c r="A8" s="122"/>
      <c r="B8" s="122"/>
      <c r="C8" s="122" t="s">
        <v>96</v>
      </c>
      <c r="D8" s="122" t="s">
        <v>97</v>
      </c>
      <c r="E8" s="122" t="s">
        <v>98</v>
      </c>
      <c r="F8" s="122" t="s">
        <v>99</v>
      </c>
      <c r="G8" s="122"/>
      <c r="H8" s="122"/>
      <c r="I8" s="122">
        <v>2011</v>
      </c>
      <c r="J8" s="122">
        <v>2012</v>
      </c>
      <c r="K8" s="122">
        <v>2013</v>
      </c>
      <c r="L8" s="122">
        <v>2014</v>
      </c>
      <c r="M8" s="122">
        <v>2015</v>
      </c>
      <c r="N8" s="122">
        <v>2016</v>
      </c>
      <c r="O8" s="122"/>
      <c r="P8" s="123">
        <v>2011</v>
      </c>
      <c r="Q8" s="122">
        <v>2012</v>
      </c>
      <c r="R8" s="122">
        <v>2013</v>
      </c>
      <c r="S8" s="122">
        <v>2014</v>
      </c>
      <c r="T8" s="122" t="s">
        <v>100</v>
      </c>
      <c r="U8" s="124"/>
    </row>
    <row r="9" spans="1:21" s="160" customFormat="1" ht="11.25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/>
      <c r="J9" s="141">
        <v>9</v>
      </c>
      <c r="K9" s="141">
        <v>10</v>
      </c>
      <c r="L9" s="141">
        <v>11</v>
      </c>
      <c r="M9" s="141">
        <v>12</v>
      </c>
      <c r="N9" s="141">
        <v>13</v>
      </c>
      <c r="O9" s="141">
        <v>14</v>
      </c>
      <c r="P9" s="157"/>
      <c r="Q9" s="158"/>
      <c r="R9" s="158"/>
      <c r="S9" s="158"/>
      <c r="T9" s="158"/>
      <c r="U9" s="159">
        <f aca="true" t="shared" si="0" ref="U9:U17">SUM(P9:T9)</f>
        <v>0</v>
      </c>
    </row>
    <row r="10" spans="1:21" s="71" customFormat="1" ht="12.75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42"/>
      <c r="Q10" s="143"/>
      <c r="R10" s="143"/>
      <c r="S10" s="143"/>
      <c r="U10" s="144"/>
    </row>
    <row r="11" spans="1:21" ht="12.75">
      <c r="A11" s="416" t="s">
        <v>101</v>
      </c>
      <c r="B11" s="416"/>
      <c r="C11" s="416"/>
      <c r="D11" s="416"/>
      <c r="E11" s="416"/>
      <c r="F11" s="416"/>
      <c r="G11" s="127">
        <f>+G13+G39</f>
        <v>74130508.45</v>
      </c>
      <c r="H11" s="127">
        <f aca="true" t="shared" si="1" ref="H11:O11">+H13+H39</f>
        <v>18688956.130000003</v>
      </c>
      <c r="I11" s="127">
        <f t="shared" si="1"/>
        <v>0</v>
      </c>
      <c r="J11" s="127">
        <f t="shared" si="1"/>
        <v>10902112.72</v>
      </c>
      <c r="K11" s="127">
        <f t="shared" si="1"/>
        <v>8689018.719999999</v>
      </c>
      <c r="L11" s="127">
        <f t="shared" si="1"/>
        <v>13805210.44</v>
      </c>
      <c r="M11" s="127">
        <f t="shared" si="1"/>
        <v>13045210.44</v>
      </c>
      <c r="N11" s="127">
        <f t="shared" si="1"/>
        <v>9000000</v>
      </c>
      <c r="O11" s="127">
        <f t="shared" si="1"/>
        <v>55441552.32</v>
      </c>
      <c r="Q11" s="139"/>
      <c r="R11" s="139"/>
      <c r="S11" s="139"/>
      <c r="T11" s="145">
        <f>+H11+O11-G11</f>
        <v>0</v>
      </c>
      <c r="U11" s="146">
        <f>SUM(P11:T11)</f>
        <v>0</v>
      </c>
    </row>
    <row r="12" spans="1:21" ht="12.75">
      <c r="A12" s="126"/>
      <c r="B12" s="151"/>
      <c r="C12" s="152"/>
      <c r="D12" s="152"/>
      <c r="E12" s="152"/>
      <c r="F12" s="153"/>
      <c r="G12" s="127"/>
      <c r="H12" s="128"/>
      <c r="I12" s="128"/>
      <c r="J12" s="128"/>
      <c r="K12" s="128"/>
      <c r="L12" s="128"/>
      <c r="M12" s="128"/>
      <c r="N12" s="128"/>
      <c r="O12" s="128"/>
      <c r="P12" s="145"/>
      <c r="Q12" s="139"/>
      <c r="R12" s="139"/>
      <c r="S12" s="139"/>
      <c r="T12" s="145">
        <f aca="true" t="shared" si="2" ref="T12:T75">+H12+O12-G12</f>
        <v>0</v>
      </c>
      <c r="U12" s="146"/>
    </row>
    <row r="13" spans="1:21" s="149" customFormat="1" ht="12.75">
      <c r="A13" s="425" t="s">
        <v>102</v>
      </c>
      <c r="B13" s="425"/>
      <c r="C13" s="425"/>
      <c r="D13" s="425"/>
      <c r="E13" s="425"/>
      <c r="F13" s="425"/>
      <c r="G13" s="129">
        <f aca="true" t="shared" si="3" ref="G13:L13">+G15+G29+G35</f>
        <v>6052718</v>
      </c>
      <c r="H13" s="129">
        <f t="shared" si="3"/>
        <v>2995990</v>
      </c>
      <c r="I13" s="129">
        <f t="shared" si="3"/>
        <v>0</v>
      </c>
      <c r="J13" s="129">
        <f t="shared" si="3"/>
        <v>1839911</v>
      </c>
      <c r="K13" s="129">
        <f t="shared" si="3"/>
        <v>1216817</v>
      </c>
      <c r="L13" s="129">
        <f t="shared" si="3"/>
        <v>0</v>
      </c>
      <c r="M13" s="129"/>
      <c r="N13" s="129">
        <f>+N15+N29+N35</f>
        <v>0</v>
      </c>
      <c r="O13" s="127">
        <f>SUM(J13:N13)</f>
        <v>3056728</v>
      </c>
      <c r="P13" s="145"/>
      <c r="Q13" s="147"/>
      <c r="R13" s="147"/>
      <c r="S13" s="147"/>
      <c r="T13" s="145">
        <f t="shared" si="2"/>
        <v>0</v>
      </c>
      <c r="U13" s="148">
        <f t="shared" si="0"/>
        <v>0</v>
      </c>
    </row>
    <row r="14" spans="1:21" s="149" customFormat="1" ht="12.75">
      <c r="A14" s="161" t="s">
        <v>145</v>
      </c>
      <c r="B14" s="162"/>
      <c r="C14" s="162"/>
      <c r="D14" s="162"/>
      <c r="E14" s="162"/>
      <c r="F14" s="163"/>
      <c r="G14" s="129"/>
      <c r="H14" s="129"/>
      <c r="I14" s="129"/>
      <c r="J14" s="129"/>
      <c r="K14" s="129"/>
      <c r="L14" s="129"/>
      <c r="M14" s="129"/>
      <c r="N14" s="129"/>
      <c r="O14" s="128"/>
      <c r="P14" s="145"/>
      <c r="Q14" s="147"/>
      <c r="R14" s="147"/>
      <c r="S14" s="147"/>
      <c r="T14" s="145">
        <f t="shared" si="2"/>
        <v>0</v>
      </c>
      <c r="U14" s="148"/>
    </row>
    <row r="15" spans="1:21" ht="12.75">
      <c r="A15" s="416" t="s">
        <v>103</v>
      </c>
      <c r="B15" s="416"/>
      <c r="C15" s="416"/>
      <c r="D15" s="416"/>
      <c r="E15" s="416"/>
      <c r="F15" s="416"/>
      <c r="G15" s="127">
        <f aca="true" t="shared" si="4" ref="G15:L15">+G16+G23+G26</f>
        <v>2497504</v>
      </c>
      <c r="H15" s="127">
        <f t="shared" si="4"/>
        <v>1771290</v>
      </c>
      <c r="I15" s="127">
        <f t="shared" si="4"/>
        <v>0</v>
      </c>
      <c r="J15" s="127">
        <f t="shared" si="4"/>
        <v>674654</v>
      </c>
      <c r="K15" s="127">
        <f t="shared" si="4"/>
        <v>51560</v>
      </c>
      <c r="L15" s="127">
        <f t="shared" si="4"/>
        <v>0</v>
      </c>
      <c r="M15" s="127"/>
      <c r="N15" s="127">
        <f>+N16+N23+N26</f>
        <v>0</v>
      </c>
      <c r="O15" s="128">
        <f aca="true" t="shared" si="5" ref="O15:O22">SUM(J15:N15)</f>
        <v>726214</v>
      </c>
      <c r="P15" s="145"/>
      <c r="Q15" s="139"/>
      <c r="R15" s="139"/>
      <c r="S15" s="139"/>
      <c r="T15" s="145">
        <f t="shared" si="2"/>
        <v>0</v>
      </c>
      <c r="U15" s="146">
        <f t="shared" si="0"/>
        <v>0</v>
      </c>
    </row>
    <row r="16" spans="1:21" ht="28.5" customHeight="1">
      <c r="A16" s="423" t="s">
        <v>104</v>
      </c>
      <c r="B16" s="423"/>
      <c r="C16" s="423"/>
      <c r="D16" s="423"/>
      <c r="E16" s="423"/>
      <c r="F16" s="423"/>
      <c r="G16" s="127">
        <f>SUM(H16:N16)</f>
        <v>2497504</v>
      </c>
      <c r="H16" s="128">
        <f aca="true" t="shared" si="6" ref="H16:N17">+H17</f>
        <v>1771290</v>
      </c>
      <c r="I16" s="128">
        <f t="shared" si="6"/>
        <v>0</v>
      </c>
      <c r="J16" s="128">
        <f t="shared" si="6"/>
        <v>674654</v>
      </c>
      <c r="K16" s="128">
        <f t="shared" si="6"/>
        <v>51560</v>
      </c>
      <c r="L16" s="128">
        <f t="shared" si="6"/>
        <v>0</v>
      </c>
      <c r="M16" s="128">
        <f t="shared" si="6"/>
        <v>0</v>
      </c>
      <c r="N16" s="128">
        <f t="shared" si="6"/>
        <v>0</v>
      </c>
      <c r="O16" s="128">
        <f t="shared" si="5"/>
        <v>726214</v>
      </c>
      <c r="P16" s="145"/>
      <c r="Q16" s="139"/>
      <c r="R16" s="139"/>
      <c r="S16" s="139"/>
      <c r="T16" s="145">
        <f t="shared" si="2"/>
        <v>0</v>
      </c>
      <c r="U16" s="146">
        <f t="shared" si="0"/>
        <v>0</v>
      </c>
    </row>
    <row r="17" spans="1:21" ht="11.25" customHeight="1">
      <c r="A17" s="125" t="s">
        <v>105</v>
      </c>
      <c r="B17" s="130"/>
      <c r="C17" s="130"/>
      <c r="D17" s="130"/>
      <c r="E17" s="417"/>
      <c r="F17" s="417"/>
      <c r="G17" s="127">
        <f>SUM(G18:G22)</f>
        <v>2497504</v>
      </c>
      <c r="H17" s="128">
        <f>SUM(H18:H22)</f>
        <v>1771290</v>
      </c>
      <c r="I17" s="128">
        <f>SUM(I18:I22)</f>
        <v>0</v>
      </c>
      <c r="J17" s="128">
        <f>SUM(J18:J22)</f>
        <v>674654</v>
      </c>
      <c r="K17" s="128">
        <f>SUM(K18:K22)</f>
        <v>51560</v>
      </c>
      <c r="L17" s="128">
        <f t="shared" si="6"/>
        <v>0</v>
      </c>
      <c r="M17" s="128">
        <f t="shared" si="6"/>
        <v>0</v>
      </c>
      <c r="N17" s="128">
        <f t="shared" si="6"/>
        <v>0</v>
      </c>
      <c r="O17" s="128">
        <f t="shared" si="5"/>
        <v>726214</v>
      </c>
      <c r="P17" s="145"/>
      <c r="Q17" s="139"/>
      <c r="R17" s="139"/>
      <c r="S17" s="139"/>
      <c r="T17" s="145">
        <f t="shared" si="2"/>
        <v>0</v>
      </c>
      <c r="U17" s="146">
        <f t="shared" si="0"/>
        <v>0</v>
      </c>
    </row>
    <row r="18" spans="1:21" ht="12.75">
      <c r="A18" s="131" t="s">
        <v>106</v>
      </c>
      <c r="B18" s="77" t="s">
        <v>107</v>
      </c>
      <c r="C18" s="77">
        <v>2010</v>
      </c>
      <c r="D18" s="77">
        <v>2012</v>
      </c>
      <c r="E18" s="77">
        <v>801</v>
      </c>
      <c r="F18" s="77">
        <v>80195</v>
      </c>
      <c r="G18" s="127">
        <v>1209460</v>
      </c>
      <c r="H18" s="128">
        <f>+G18-J18</f>
        <v>866476</v>
      </c>
      <c r="I18" s="128">
        <f>SUM(I19:I22)</f>
        <v>0</v>
      </c>
      <c r="J18" s="128">
        <v>342984</v>
      </c>
      <c r="K18" s="128"/>
      <c r="L18" s="128">
        <f>SUM(L19:L22)</f>
        <v>0</v>
      </c>
      <c r="M18" s="128">
        <f>SUM(M19:M22)</f>
        <v>0</v>
      </c>
      <c r="N18" s="128">
        <f>SUM(N19:N22)</f>
        <v>0</v>
      </c>
      <c r="O18" s="128">
        <f t="shared" si="5"/>
        <v>342984</v>
      </c>
      <c r="P18" s="145"/>
      <c r="Q18" s="139"/>
      <c r="R18" s="139"/>
      <c r="S18" s="139"/>
      <c r="T18" s="145">
        <f t="shared" si="2"/>
        <v>0</v>
      </c>
      <c r="U18" s="146"/>
    </row>
    <row r="19" spans="1:21" ht="38.25">
      <c r="A19" s="131" t="s">
        <v>159</v>
      </c>
      <c r="B19" s="77" t="s">
        <v>107</v>
      </c>
      <c r="C19" s="77">
        <v>2011</v>
      </c>
      <c r="D19" s="77">
        <v>2012</v>
      </c>
      <c r="E19" s="77">
        <v>801</v>
      </c>
      <c r="F19" s="77">
        <v>80195</v>
      </c>
      <c r="G19" s="127">
        <f>SUM(H19:N19)</f>
        <v>695980</v>
      </c>
      <c r="H19" s="128">
        <f>211980+400000</f>
        <v>611980</v>
      </c>
      <c r="I19" s="128"/>
      <c r="J19" s="128">
        <v>84000</v>
      </c>
      <c r="K19" s="128"/>
      <c r="L19" s="128"/>
      <c r="M19" s="128"/>
      <c r="N19" s="128"/>
      <c r="O19" s="128">
        <f t="shared" si="5"/>
        <v>84000</v>
      </c>
      <c r="P19" s="145"/>
      <c r="Q19" s="139"/>
      <c r="R19" s="139"/>
      <c r="S19" s="139"/>
      <c r="T19" s="145">
        <f t="shared" si="2"/>
        <v>0</v>
      </c>
      <c r="U19" s="146"/>
    </row>
    <row r="20" spans="1:21" ht="25.5">
      <c r="A20" s="131" t="s">
        <v>220</v>
      </c>
      <c r="B20" s="77" t="s">
        <v>221</v>
      </c>
      <c r="C20" s="77">
        <v>2011</v>
      </c>
      <c r="D20" s="77">
        <v>2012</v>
      </c>
      <c r="E20" s="77">
        <v>852</v>
      </c>
      <c r="F20" s="77">
        <v>85219</v>
      </c>
      <c r="G20" s="127">
        <f>SUM(H20:N20)</f>
        <v>130200</v>
      </c>
      <c r="H20" s="128">
        <v>110200</v>
      </c>
      <c r="I20" s="128"/>
      <c r="J20" s="128">
        <v>20000</v>
      </c>
      <c r="K20" s="128"/>
      <c r="L20" s="128"/>
      <c r="M20" s="128"/>
      <c r="N20" s="128"/>
      <c r="O20" s="128">
        <f t="shared" si="5"/>
        <v>20000</v>
      </c>
      <c r="P20" s="145"/>
      <c r="Q20" s="139"/>
      <c r="R20" s="139"/>
      <c r="S20" s="139"/>
      <c r="T20" s="145">
        <f t="shared" si="2"/>
        <v>0</v>
      </c>
      <c r="U20" s="146"/>
    </row>
    <row r="21" spans="1:21" ht="12.75">
      <c r="A21" s="366" t="s">
        <v>218</v>
      </c>
      <c r="B21" s="77" t="s">
        <v>107</v>
      </c>
      <c r="C21" s="77">
        <v>2011</v>
      </c>
      <c r="D21" s="77">
        <v>2012</v>
      </c>
      <c r="E21" s="77">
        <v>750</v>
      </c>
      <c r="F21" s="77">
        <v>75023</v>
      </c>
      <c r="G21" s="127">
        <f>SUM(H21:N21)</f>
        <v>204064</v>
      </c>
      <c r="H21" s="128">
        <v>100138</v>
      </c>
      <c r="I21" s="128"/>
      <c r="J21" s="128">
        <v>103926</v>
      </c>
      <c r="K21" s="128"/>
      <c r="L21" s="128"/>
      <c r="M21" s="128"/>
      <c r="N21" s="128"/>
      <c r="O21" s="128">
        <f t="shared" si="5"/>
        <v>103926</v>
      </c>
      <c r="P21" s="145"/>
      <c r="Q21" s="139"/>
      <c r="R21" s="139"/>
      <c r="S21" s="139"/>
      <c r="T21" s="145">
        <f t="shared" si="2"/>
        <v>0</v>
      </c>
      <c r="U21" s="146"/>
    </row>
    <row r="22" spans="1:21" ht="12.75">
      <c r="A22" s="366" t="s">
        <v>219</v>
      </c>
      <c r="B22" s="77" t="s">
        <v>107</v>
      </c>
      <c r="C22" s="77">
        <v>2011</v>
      </c>
      <c r="D22" s="77">
        <v>2013</v>
      </c>
      <c r="E22" s="77">
        <v>750</v>
      </c>
      <c r="F22" s="77">
        <v>75023</v>
      </c>
      <c r="G22" s="127">
        <f>SUM(H22:N22)</f>
        <v>257800</v>
      </c>
      <c r="H22" s="128">
        <v>82496</v>
      </c>
      <c r="I22" s="128"/>
      <c r="J22" s="128">
        <v>123744</v>
      </c>
      <c r="K22" s="128">
        <v>51560</v>
      </c>
      <c r="L22" s="128"/>
      <c r="M22" s="128"/>
      <c r="N22" s="128"/>
      <c r="O22" s="128">
        <f t="shared" si="5"/>
        <v>175304</v>
      </c>
      <c r="P22" s="145"/>
      <c r="Q22" s="139"/>
      <c r="R22" s="139"/>
      <c r="S22" s="139"/>
      <c r="T22" s="145">
        <f t="shared" si="2"/>
        <v>0</v>
      </c>
      <c r="U22" s="146"/>
    </row>
    <row r="23" spans="1:21" ht="27" customHeight="1">
      <c r="A23" s="423" t="s">
        <v>108</v>
      </c>
      <c r="B23" s="423"/>
      <c r="C23" s="423"/>
      <c r="D23" s="423"/>
      <c r="E23" s="423"/>
      <c r="F23" s="423"/>
      <c r="G23" s="127">
        <f>SUM(G24:G25)</f>
        <v>0</v>
      </c>
      <c r="H23" s="128"/>
      <c r="I23" s="128"/>
      <c r="J23" s="128"/>
      <c r="K23" s="128"/>
      <c r="L23" s="128"/>
      <c r="M23" s="128"/>
      <c r="N23" s="128"/>
      <c r="O23" s="128">
        <f aca="true" t="shared" si="7" ref="O23:O29">SUM(I23:N23)</f>
        <v>0</v>
      </c>
      <c r="P23" s="145"/>
      <c r="Q23" s="139"/>
      <c r="R23" s="139"/>
      <c r="S23" s="139"/>
      <c r="T23" s="145">
        <f t="shared" si="2"/>
        <v>0</v>
      </c>
      <c r="U23" s="146">
        <f>SUM(P23:T23)</f>
        <v>0</v>
      </c>
    </row>
    <row r="24" spans="1:21" ht="12.75">
      <c r="A24" s="132" t="s">
        <v>105</v>
      </c>
      <c r="B24" s="130"/>
      <c r="C24" s="130"/>
      <c r="D24" s="130"/>
      <c r="E24" s="417" t="s">
        <v>109</v>
      </c>
      <c r="F24" s="417"/>
      <c r="G24" s="127">
        <f>SUM(H24:N24)</f>
        <v>0</v>
      </c>
      <c r="H24" s="128"/>
      <c r="I24" s="128"/>
      <c r="J24" s="128"/>
      <c r="K24" s="128"/>
      <c r="L24" s="128"/>
      <c r="M24" s="128"/>
      <c r="N24" s="128"/>
      <c r="O24" s="128">
        <f t="shared" si="7"/>
        <v>0</v>
      </c>
      <c r="P24" s="145"/>
      <c r="Q24" s="139"/>
      <c r="R24" s="139"/>
      <c r="S24" s="139"/>
      <c r="T24" s="145">
        <f t="shared" si="2"/>
        <v>0</v>
      </c>
      <c r="U24" s="146">
        <f>SUM(P24:T24)</f>
        <v>0</v>
      </c>
    </row>
    <row r="25" spans="1:21" ht="12.75">
      <c r="A25" s="132"/>
      <c r="B25" s="130"/>
      <c r="C25" s="130"/>
      <c r="D25" s="130"/>
      <c r="E25" s="130"/>
      <c r="F25" s="130"/>
      <c r="G25" s="127">
        <f>SUM(H25:N25)</f>
        <v>0</v>
      </c>
      <c r="H25" s="128"/>
      <c r="I25" s="128"/>
      <c r="J25" s="128"/>
      <c r="K25" s="128"/>
      <c r="L25" s="128"/>
      <c r="M25" s="128"/>
      <c r="N25" s="128"/>
      <c r="O25" s="128">
        <f t="shared" si="7"/>
        <v>0</v>
      </c>
      <c r="P25" s="145"/>
      <c r="Q25" s="139"/>
      <c r="R25" s="139"/>
      <c r="S25" s="139"/>
      <c r="T25" s="145">
        <f t="shared" si="2"/>
        <v>0</v>
      </c>
      <c r="U25" s="146">
        <f>SUM(P25:T25)</f>
        <v>0</v>
      </c>
    </row>
    <row r="26" spans="1:21" ht="12.75">
      <c r="A26" s="423" t="s">
        <v>110</v>
      </c>
      <c r="B26" s="423"/>
      <c r="C26" s="423"/>
      <c r="D26" s="423"/>
      <c r="E26" s="423"/>
      <c r="F26" s="423"/>
      <c r="G26" s="127">
        <f>+G27</f>
        <v>0</v>
      </c>
      <c r="H26" s="127">
        <f aca="true" t="shared" si="8" ref="H26:N26">+H27</f>
        <v>0</v>
      </c>
      <c r="I26" s="127">
        <f t="shared" si="8"/>
        <v>0</v>
      </c>
      <c r="J26" s="127">
        <f t="shared" si="8"/>
        <v>0</v>
      </c>
      <c r="K26" s="127">
        <f t="shared" si="8"/>
        <v>0</v>
      </c>
      <c r="L26" s="127">
        <f t="shared" si="8"/>
        <v>0</v>
      </c>
      <c r="M26" s="127"/>
      <c r="N26" s="127">
        <f t="shared" si="8"/>
        <v>0</v>
      </c>
      <c r="O26" s="128">
        <f t="shared" si="7"/>
        <v>0</v>
      </c>
      <c r="P26" s="145"/>
      <c r="Q26" s="139"/>
      <c r="R26" s="139"/>
      <c r="S26" s="139"/>
      <c r="T26" s="145">
        <f t="shared" si="2"/>
        <v>0</v>
      </c>
      <c r="U26" s="146">
        <f>SUM(P26:T26)</f>
        <v>0</v>
      </c>
    </row>
    <row r="27" spans="1:21" ht="12.75">
      <c r="A27" s="132" t="s">
        <v>105</v>
      </c>
      <c r="B27" s="130"/>
      <c r="C27" s="130"/>
      <c r="D27" s="130"/>
      <c r="E27" s="417" t="s">
        <v>109</v>
      </c>
      <c r="F27" s="417"/>
      <c r="G27" s="127"/>
      <c r="H27" s="127"/>
      <c r="I27" s="127"/>
      <c r="J27" s="127"/>
      <c r="K27" s="127"/>
      <c r="L27" s="127"/>
      <c r="M27" s="127"/>
      <c r="N27" s="127"/>
      <c r="O27" s="128">
        <f t="shared" si="7"/>
        <v>0</v>
      </c>
      <c r="P27" s="145"/>
      <c r="Q27" s="139"/>
      <c r="R27" s="139"/>
      <c r="S27" s="139"/>
      <c r="T27" s="145">
        <f t="shared" si="2"/>
        <v>0</v>
      </c>
      <c r="U27" s="146">
        <f>SUM(P27:T27)</f>
        <v>0</v>
      </c>
    </row>
    <row r="28" spans="1:21" ht="12.75">
      <c r="A28" s="132"/>
      <c r="B28" s="130"/>
      <c r="C28" s="130"/>
      <c r="D28" s="130"/>
      <c r="E28" s="130"/>
      <c r="F28" s="130"/>
      <c r="G28" s="127"/>
      <c r="H28" s="128"/>
      <c r="I28" s="128"/>
      <c r="J28" s="128"/>
      <c r="K28" s="128"/>
      <c r="L28" s="128"/>
      <c r="M28" s="128"/>
      <c r="N28" s="128"/>
      <c r="O28" s="128">
        <f t="shared" si="7"/>
        <v>0</v>
      </c>
      <c r="P28" s="145"/>
      <c r="Q28" s="139"/>
      <c r="R28" s="139"/>
      <c r="S28" s="139"/>
      <c r="T28" s="145">
        <f t="shared" si="2"/>
        <v>0</v>
      </c>
      <c r="U28" s="146"/>
    </row>
    <row r="29" spans="1:21" ht="39.75" customHeight="1">
      <c r="A29" s="416" t="s">
        <v>111</v>
      </c>
      <c r="B29" s="416"/>
      <c r="C29" s="416"/>
      <c r="D29" s="416"/>
      <c r="E29" s="416"/>
      <c r="F29" s="416"/>
      <c r="G29" s="127">
        <f aca="true" t="shared" si="9" ref="G29:L29">+G30</f>
        <v>3555214</v>
      </c>
      <c r="H29" s="127">
        <f t="shared" si="9"/>
        <v>1224700</v>
      </c>
      <c r="I29" s="127">
        <f t="shared" si="9"/>
        <v>0</v>
      </c>
      <c r="J29" s="127">
        <f t="shared" si="9"/>
        <v>1165257</v>
      </c>
      <c r="K29" s="127">
        <f t="shared" si="9"/>
        <v>1165257</v>
      </c>
      <c r="L29" s="127">
        <f t="shared" si="9"/>
        <v>0</v>
      </c>
      <c r="M29" s="127"/>
      <c r="N29" s="127">
        <f>+N30</f>
        <v>0</v>
      </c>
      <c r="O29" s="127">
        <f t="shared" si="7"/>
        <v>2330514</v>
      </c>
      <c r="P29" s="145"/>
      <c r="Q29" s="139"/>
      <c r="R29" s="139"/>
      <c r="S29" s="139"/>
      <c r="T29" s="145">
        <f t="shared" si="2"/>
        <v>0</v>
      </c>
      <c r="U29" s="146">
        <f aca="true" t="shared" si="10" ref="U29:U38">SUM(P29:T29)</f>
        <v>0</v>
      </c>
    </row>
    <row r="30" spans="1:21" ht="12.75">
      <c r="A30" s="132" t="s">
        <v>112</v>
      </c>
      <c r="B30" s="130"/>
      <c r="C30" s="130"/>
      <c r="D30" s="130"/>
      <c r="E30" s="417" t="s">
        <v>109</v>
      </c>
      <c r="F30" s="417"/>
      <c r="G30" s="127">
        <f>SUM(G31:G33)</f>
        <v>3555214</v>
      </c>
      <c r="H30" s="127">
        <f>SUM(H31:H33)</f>
        <v>1224700</v>
      </c>
      <c r="I30" s="127">
        <f>SUM(I31:I33)</f>
        <v>0</v>
      </c>
      <c r="J30" s="127">
        <f>SUM(J31:J33)</f>
        <v>1165257</v>
      </c>
      <c r="K30" s="127">
        <f>SUM(K31:K33)</f>
        <v>1165257</v>
      </c>
      <c r="L30" s="127">
        <f>SUM(L32:L33)</f>
        <v>0</v>
      </c>
      <c r="M30" s="127"/>
      <c r="N30" s="127">
        <f>SUM(N32:N33)</f>
        <v>0</v>
      </c>
      <c r="O30" s="127">
        <f>SUM(J30:N30)</f>
        <v>2330514</v>
      </c>
      <c r="P30" s="145"/>
      <c r="Q30" s="139"/>
      <c r="R30" s="139"/>
      <c r="S30" s="139"/>
      <c r="T30" s="145">
        <f t="shared" si="2"/>
        <v>0</v>
      </c>
      <c r="U30" s="146">
        <f t="shared" si="10"/>
        <v>0</v>
      </c>
    </row>
    <row r="31" spans="1:21" ht="12.75">
      <c r="A31" s="132" t="s">
        <v>208</v>
      </c>
      <c r="B31" s="130" t="s">
        <v>107</v>
      </c>
      <c r="C31" s="130">
        <v>2011</v>
      </c>
      <c r="D31" s="130">
        <v>2013</v>
      </c>
      <c r="E31" s="313" t="s">
        <v>209</v>
      </c>
      <c r="F31" s="313" t="s">
        <v>210</v>
      </c>
      <c r="G31" s="127">
        <f>SUM(H31:K31)</f>
        <v>12600</v>
      </c>
      <c r="H31" s="128">
        <v>4200</v>
      </c>
      <c r="I31" s="127"/>
      <c r="J31" s="128">
        <v>4200</v>
      </c>
      <c r="K31" s="128">
        <v>4200</v>
      </c>
      <c r="L31" s="127"/>
      <c r="M31" s="127"/>
      <c r="N31" s="127"/>
      <c r="O31" s="128">
        <f>SUM(J31:N31)</f>
        <v>8400</v>
      </c>
      <c r="P31" s="145"/>
      <c r="Q31" s="139"/>
      <c r="R31" s="139"/>
      <c r="S31" s="139"/>
      <c r="T31" s="145">
        <f t="shared" si="2"/>
        <v>0</v>
      </c>
      <c r="U31" s="146"/>
    </row>
    <row r="32" spans="1:21" ht="12.75">
      <c r="A32" s="132" t="s">
        <v>113</v>
      </c>
      <c r="B32" s="130" t="s">
        <v>107</v>
      </c>
      <c r="C32" s="130">
        <v>2011</v>
      </c>
      <c r="D32" s="130">
        <v>2014</v>
      </c>
      <c r="E32" s="130">
        <v>600</v>
      </c>
      <c r="F32" s="130">
        <v>60004</v>
      </c>
      <c r="G32" s="127">
        <f aca="true" t="shared" si="11" ref="G32:G38">SUM(H32:N32)</f>
        <v>3026614</v>
      </c>
      <c r="H32" s="128">
        <f>166500+882000</f>
        <v>1048500</v>
      </c>
      <c r="I32" s="128"/>
      <c r="J32" s="128">
        <v>989057</v>
      </c>
      <c r="K32" s="128">
        <f>+J32</f>
        <v>989057</v>
      </c>
      <c r="L32" s="128"/>
      <c r="M32" s="128"/>
      <c r="N32" s="128"/>
      <c r="O32" s="128">
        <f>SUM(J32:N32)</f>
        <v>1978114</v>
      </c>
      <c r="P32" s="145"/>
      <c r="Q32" s="139"/>
      <c r="R32" s="139"/>
      <c r="S32" s="139"/>
      <c r="T32" s="145">
        <f t="shared" si="2"/>
        <v>0</v>
      </c>
      <c r="U32" s="146">
        <f t="shared" si="10"/>
        <v>0</v>
      </c>
    </row>
    <row r="33" spans="1:21" ht="12.75">
      <c r="A33" s="132" t="s">
        <v>114</v>
      </c>
      <c r="B33" s="130" t="s">
        <v>107</v>
      </c>
      <c r="C33" s="130">
        <v>2011</v>
      </c>
      <c r="D33" s="130">
        <v>2014</v>
      </c>
      <c r="E33" s="130">
        <v>801</v>
      </c>
      <c r="F33" s="130">
        <v>80113</v>
      </c>
      <c r="G33" s="127">
        <f t="shared" si="11"/>
        <v>516000</v>
      </c>
      <c r="H33" s="128">
        <f>95000+77000</f>
        <v>172000</v>
      </c>
      <c r="I33" s="128"/>
      <c r="J33" s="128">
        <f>95000+77000</f>
        <v>172000</v>
      </c>
      <c r="K33" s="128">
        <f>95000+77000</f>
        <v>172000</v>
      </c>
      <c r="L33" s="128"/>
      <c r="M33" s="128"/>
      <c r="N33" s="128"/>
      <c r="O33" s="128">
        <f>SUM(J33:N33)</f>
        <v>344000</v>
      </c>
      <c r="P33" s="145"/>
      <c r="Q33" s="139"/>
      <c r="R33" s="139"/>
      <c r="S33" s="139"/>
      <c r="T33" s="145">
        <f t="shared" si="2"/>
        <v>0</v>
      </c>
      <c r="U33" s="146">
        <f t="shared" si="10"/>
        <v>0</v>
      </c>
    </row>
    <row r="34" spans="1:21" ht="12.75">
      <c r="A34" s="132"/>
      <c r="B34" s="130"/>
      <c r="C34" s="130"/>
      <c r="D34" s="130"/>
      <c r="E34" s="130"/>
      <c r="F34" s="130"/>
      <c r="G34" s="127">
        <f t="shared" si="11"/>
        <v>0</v>
      </c>
      <c r="H34" s="128"/>
      <c r="I34" s="128"/>
      <c r="J34" s="128"/>
      <c r="K34" s="128"/>
      <c r="L34" s="128"/>
      <c r="M34" s="128"/>
      <c r="N34" s="128"/>
      <c r="O34" s="128">
        <f>SUM(I34:N34)</f>
        <v>0</v>
      </c>
      <c r="P34" s="145"/>
      <c r="Q34" s="139"/>
      <c r="R34" s="139"/>
      <c r="S34" s="139"/>
      <c r="T34" s="145">
        <f t="shared" si="2"/>
        <v>0</v>
      </c>
      <c r="U34" s="146">
        <f t="shared" si="10"/>
        <v>0</v>
      </c>
    </row>
    <row r="35" spans="1:21" ht="12.75">
      <c r="A35" s="416" t="s">
        <v>115</v>
      </c>
      <c r="B35" s="416"/>
      <c r="C35" s="416"/>
      <c r="D35" s="416"/>
      <c r="E35" s="416"/>
      <c r="F35" s="416"/>
      <c r="G35" s="127">
        <f t="shared" si="11"/>
        <v>0</v>
      </c>
      <c r="H35" s="128"/>
      <c r="I35" s="128"/>
      <c r="J35" s="128"/>
      <c r="K35" s="128"/>
      <c r="L35" s="128"/>
      <c r="M35" s="128"/>
      <c r="N35" s="128"/>
      <c r="O35" s="128">
        <f>SUM(I35:N35)</f>
        <v>0</v>
      </c>
      <c r="P35" s="145"/>
      <c r="Q35" s="139"/>
      <c r="R35" s="139"/>
      <c r="S35" s="139"/>
      <c r="T35" s="145">
        <f t="shared" si="2"/>
        <v>0</v>
      </c>
      <c r="U35" s="146">
        <f t="shared" si="10"/>
        <v>0</v>
      </c>
    </row>
    <row r="36" spans="1:21" ht="12.75">
      <c r="A36" s="132" t="s">
        <v>112</v>
      </c>
      <c r="B36" s="130"/>
      <c r="C36" s="130"/>
      <c r="D36" s="130"/>
      <c r="E36" s="417" t="s">
        <v>109</v>
      </c>
      <c r="F36" s="417"/>
      <c r="G36" s="127">
        <f t="shared" si="11"/>
        <v>0</v>
      </c>
      <c r="H36" s="128"/>
      <c r="I36" s="128"/>
      <c r="J36" s="128"/>
      <c r="K36" s="128"/>
      <c r="L36" s="128"/>
      <c r="M36" s="128"/>
      <c r="N36" s="128"/>
      <c r="O36" s="128">
        <f>SUM(I36:N36)</f>
        <v>0</v>
      </c>
      <c r="P36" s="145"/>
      <c r="Q36" s="139"/>
      <c r="R36" s="139"/>
      <c r="S36" s="139"/>
      <c r="T36" s="145">
        <f t="shared" si="2"/>
        <v>0</v>
      </c>
      <c r="U36" s="146">
        <f t="shared" si="10"/>
        <v>0</v>
      </c>
    </row>
    <row r="37" spans="1:21" ht="12.75">
      <c r="A37" s="132"/>
      <c r="B37" s="130"/>
      <c r="C37" s="130"/>
      <c r="D37" s="130"/>
      <c r="E37" s="130"/>
      <c r="F37" s="130"/>
      <c r="G37" s="127">
        <f t="shared" si="11"/>
        <v>0</v>
      </c>
      <c r="H37" s="128"/>
      <c r="I37" s="128"/>
      <c r="J37" s="128"/>
      <c r="K37" s="128"/>
      <c r="L37" s="128"/>
      <c r="M37" s="128"/>
      <c r="N37" s="128"/>
      <c r="O37" s="128">
        <f>SUM(I37:N37)</f>
        <v>0</v>
      </c>
      <c r="P37" s="145"/>
      <c r="Q37" s="139"/>
      <c r="R37" s="139"/>
      <c r="S37" s="139"/>
      <c r="T37" s="145">
        <f t="shared" si="2"/>
        <v>0</v>
      </c>
      <c r="U37" s="146">
        <f t="shared" si="10"/>
        <v>0</v>
      </c>
    </row>
    <row r="38" spans="1:21" ht="12.75">
      <c r="A38" s="132"/>
      <c r="B38" s="133"/>
      <c r="C38" s="130"/>
      <c r="D38" s="130"/>
      <c r="E38" s="130"/>
      <c r="F38" s="130"/>
      <c r="G38" s="127">
        <f t="shared" si="11"/>
        <v>0</v>
      </c>
      <c r="H38" s="128"/>
      <c r="I38" s="128"/>
      <c r="J38" s="128"/>
      <c r="K38" s="128"/>
      <c r="L38" s="128"/>
      <c r="M38" s="128"/>
      <c r="N38" s="128"/>
      <c r="O38" s="128">
        <f>SUM(I38:N38)</f>
        <v>0</v>
      </c>
      <c r="P38" s="145"/>
      <c r="Q38" s="139"/>
      <c r="R38" s="139"/>
      <c r="S38" s="139"/>
      <c r="T38" s="145">
        <f t="shared" si="2"/>
        <v>0</v>
      </c>
      <c r="U38" s="146">
        <f t="shared" si="10"/>
        <v>0</v>
      </c>
    </row>
    <row r="39" spans="1:21" ht="12.75">
      <c r="A39" s="416" t="s">
        <v>116</v>
      </c>
      <c r="B39" s="416"/>
      <c r="C39" s="416"/>
      <c r="D39" s="416"/>
      <c r="E39" s="416"/>
      <c r="F39" s="416"/>
      <c r="G39" s="127">
        <f aca="true" t="shared" si="12" ref="G39:N39">+G41+G75</f>
        <v>68077790.45</v>
      </c>
      <c r="H39" s="127">
        <f t="shared" si="12"/>
        <v>15692966.13</v>
      </c>
      <c r="I39" s="127">
        <f t="shared" si="12"/>
        <v>0</v>
      </c>
      <c r="J39" s="127">
        <f t="shared" si="12"/>
        <v>9062201.72</v>
      </c>
      <c r="K39" s="127">
        <f t="shared" si="12"/>
        <v>7472201.72</v>
      </c>
      <c r="L39" s="127">
        <f t="shared" si="12"/>
        <v>13805210.44</v>
      </c>
      <c r="M39" s="127">
        <f t="shared" si="12"/>
        <v>13045210.44</v>
      </c>
      <c r="N39" s="127">
        <f t="shared" si="12"/>
        <v>9000000</v>
      </c>
      <c r="O39" s="127">
        <f>SUM(J39:N39)</f>
        <v>52384824.32</v>
      </c>
      <c r="P39" s="134">
        <f aca="true" t="shared" si="13" ref="P39:U39">+P41+P75</f>
        <v>4012184</v>
      </c>
      <c r="Q39" s="127">
        <f t="shared" si="13"/>
        <v>332625</v>
      </c>
      <c r="R39" s="127">
        <f t="shared" si="13"/>
        <v>0</v>
      </c>
      <c r="S39" s="127">
        <f t="shared" si="13"/>
        <v>0</v>
      </c>
      <c r="T39" s="145">
        <f t="shared" si="2"/>
        <v>0</v>
      </c>
      <c r="U39" s="127">
        <f t="shared" si="13"/>
        <v>4344809</v>
      </c>
    </row>
    <row r="40" spans="1:21" ht="12.75">
      <c r="A40" s="151" t="s">
        <v>145</v>
      </c>
      <c r="B40" s="152"/>
      <c r="C40" s="152"/>
      <c r="D40" s="152"/>
      <c r="E40" s="152"/>
      <c r="F40" s="153"/>
      <c r="G40" s="127"/>
      <c r="H40" s="127"/>
      <c r="I40" s="127"/>
      <c r="J40" s="127"/>
      <c r="K40" s="127"/>
      <c r="L40" s="127"/>
      <c r="M40" s="127"/>
      <c r="N40" s="127"/>
      <c r="O40" s="127"/>
      <c r="P40" s="134"/>
      <c r="Q40" s="127"/>
      <c r="R40" s="127"/>
      <c r="S40" s="127"/>
      <c r="T40" s="145">
        <f t="shared" si="2"/>
        <v>0</v>
      </c>
      <c r="U40" s="127"/>
    </row>
    <row r="41" spans="1:21" ht="12.75">
      <c r="A41" s="416" t="s">
        <v>103</v>
      </c>
      <c r="B41" s="416"/>
      <c r="C41" s="416"/>
      <c r="D41" s="416"/>
      <c r="E41" s="416"/>
      <c r="F41" s="416"/>
      <c r="G41" s="127">
        <f aca="true" t="shared" si="14" ref="G41:N41">+G43+G57+G60</f>
        <v>65821537.74</v>
      </c>
      <c r="H41" s="127">
        <f t="shared" si="14"/>
        <v>14171537.74</v>
      </c>
      <c r="I41" s="127">
        <f t="shared" si="14"/>
        <v>0</v>
      </c>
      <c r="J41" s="127">
        <f t="shared" si="14"/>
        <v>8800000</v>
      </c>
      <c r="K41" s="127">
        <f t="shared" si="14"/>
        <v>7210000</v>
      </c>
      <c r="L41" s="127">
        <f t="shared" si="14"/>
        <v>13700000</v>
      </c>
      <c r="M41" s="127">
        <f t="shared" si="14"/>
        <v>12940000</v>
      </c>
      <c r="N41" s="127">
        <f t="shared" si="14"/>
        <v>9000000</v>
      </c>
      <c r="O41" s="127">
        <f aca="true" t="shared" si="15" ref="O41:O56">SUM(J41:N41)</f>
        <v>51650000</v>
      </c>
      <c r="P41" s="134">
        <f aca="true" t="shared" si="16" ref="P41:U41">+P43+P57+P60</f>
        <v>4012184</v>
      </c>
      <c r="Q41" s="127">
        <f t="shared" si="16"/>
        <v>332625</v>
      </c>
      <c r="R41" s="127">
        <f t="shared" si="16"/>
        <v>0</v>
      </c>
      <c r="S41" s="127">
        <f t="shared" si="16"/>
        <v>0</v>
      </c>
      <c r="T41" s="145">
        <f t="shared" si="2"/>
        <v>0</v>
      </c>
      <c r="U41" s="127">
        <f t="shared" si="16"/>
        <v>4344809</v>
      </c>
    </row>
    <row r="42" spans="1:21" ht="26.25" customHeight="1">
      <c r="A42" s="423" t="s">
        <v>117</v>
      </c>
      <c r="B42" s="423"/>
      <c r="C42" s="423"/>
      <c r="D42" s="423"/>
      <c r="E42" s="423"/>
      <c r="F42" s="423"/>
      <c r="G42" s="127">
        <f>SUM(H42:N42)</f>
        <v>18793894.740000002</v>
      </c>
      <c r="H42" s="127">
        <f>+H43</f>
        <v>10013894.74</v>
      </c>
      <c r="I42" s="127">
        <f aca="true" t="shared" si="17" ref="I42:N42">+I43</f>
        <v>0</v>
      </c>
      <c r="J42" s="127">
        <f t="shared" si="17"/>
        <v>2200000</v>
      </c>
      <c r="K42" s="127">
        <f t="shared" si="17"/>
        <v>2600000</v>
      </c>
      <c r="L42" s="127">
        <f t="shared" si="17"/>
        <v>3700000</v>
      </c>
      <c r="M42" s="127">
        <f t="shared" si="17"/>
        <v>280000</v>
      </c>
      <c r="N42" s="127">
        <f t="shared" si="17"/>
        <v>0</v>
      </c>
      <c r="O42" s="127">
        <f t="shared" si="15"/>
        <v>8780000</v>
      </c>
      <c r="P42" s="145"/>
      <c r="Q42" s="139"/>
      <c r="R42" s="139"/>
      <c r="S42" s="139"/>
      <c r="T42" s="145">
        <f t="shared" si="2"/>
        <v>0</v>
      </c>
      <c r="U42" s="146">
        <f>SUM(P42:T42)</f>
        <v>0</v>
      </c>
    </row>
    <row r="43" spans="1:21" ht="25.5">
      <c r="A43" s="125" t="s">
        <v>118</v>
      </c>
      <c r="B43" s="77" t="s">
        <v>107</v>
      </c>
      <c r="C43" s="77">
        <v>2008</v>
      </c>
      <c r="D43" s="77">
        <v>2015</v>
      </c>
      <c r="E43" s="424" t="s">
        <v>109</v>
      </c>
      <c r="F43" s="424"/>
      <c r="G43" s="127">
        <f aca="true" t="shared" si="18" ref="G43:N43">SUM(G44:G56)</f>
        <v>18793894.740000002</v>
      </c>
      <c r="H43" s="127">
        <f t="shared" si="18"/>
        <v>10013894.74</v>
      </c>
      <c r="I43" s="127">
        <f t="shared" si="18"/>
        <v>0</v>
      </c>
      <c r="J43" s="127">
        <f t="shared" si="18"/>
        <v>2200000</v>
      </c>
      <c r="K43" s="127">
        <f t="shared" si="18"/>
        <v>2600000</v>
      </c>
      <c r="L43" s="127">
        <f t="shared" si="18"/>
        <v>3700000</v>
      </c>
      <c r="M43" s="127">
        <f t="shared" si="18"/>
        <v>280000</v>
      </c>
      <c r="N43" s="127">
        <f t="shared" si="18"/>
        <v>0</v>
      </c>
      <c r="O43" s="127">
        <f t="shared" si="15"/>
        <v>8780000</v>
      </c>
      <c r="P43" s="134">
        <f aca="true" t="shared" si="19" ref="P43:U43">SUM(P44:P53)</f>
        <v>4012184</v>
      </c>
      <c r="Q43" s="127">
        <f t="shared" si="19"/>
        <v>332625</v>
      </c>
      <c r="R43" s="127">
        <f t="shared" si="19"/>
        <v>0</v>
      </c>
      <c r="S43" s="127">
        <f t="shared" si="19"/>
        <v>0</v>
      </c>
      <c r="T43" s="145">
        <f t="shared" si="2"/>
        <v>0</v>
      </c>
      <c r="U43" s="127">
        <f t="shared" si="19"/>
        <v>4344809</v>
      </c>
    </row>
    <row r="44" spans="1:21" ht="51">
      <c r="A44" s="131" t="s">
        <v>124</v>
      </c>
      <c r="B44" s="77" t="s">
        <v>107</v>
      </c>
      <c r="C44" s="77">
        <v>2009</v>
      </c>
      <c r="D44" s="77">
        <v>2012</v>
      </c>
      <c r="E44" s="77">
        <v>600</v>
      </c>
      <c r="F44" s="77">
        <v>60016</v>
      </c>
      <c r="G44" s="315">
        <f>SUM(H44:N44)</f>
        <v>1126115</v>
      </c>
      <c r="H44" s="218">
        <f>526115+400000</f>
        <v>926115</v>
      </c>
      <c r="I44" s="218"/>
      <c r="J44" s="218">
        <v>200000</v>
      </c>
      <c r="K44" s="218"/>
      <c r="L44" s="128"/>
      <c r="M44" s="128"/>
      <c r="N44" s="128"/>
      <c r="O44" s="128">
        <f t="shared" si="15"/>
        <v>200000</v>
      </c>
      <c r="P44" s="145">
        <v>700000</v>
      </c>
      <c r="Q44" s="139"/>
      <c r="R44" s="139"/>
      <c r="S44" s="139"/>
      <c r="T44" s="145">
        <f t="shared" si="2"/>
        <v>0</v>
      </c>
      <c r="U44" s="146">
        <f aca="true" t="shared" si="20" ref="U44:U54">SUM(P44:T44)</f>
        <v>700000</v>
      </c>
    </row>
    <row r="45" spans="1:21" ht="51">
      <c r="A45" s="131" t="s">
        <v>224</v>
      </c>
      <c r="B45" s="77" t="s">
        <v>107</v>
      </c>
      <c r="C45" s="77">
        <v>2010</v>
      </c>
      <c r="D45" s="77">
        <v>2012</v>
      </c>
      <c r="E45" s="77">
        <v>600</v>
      </c>
      <c r="F45" s="77">
        <v>60016</v>
      </c>
      <c r="G45" s="315">
        <f>SUM(H45:N45)</f>
        <v>2057970</v>
      </c>
      <c r="H45" s="218">
        <f>77970+1580000</f>
        <v>1657970</v>
      </c>
      <c r="I45" s="218"/>
      <c r="J45" s="218">
        <v>400000</v>
      </c>
      <c r="K45" s="218"/>
      <c r="L45" s="128"/>
      <c r="M45" s="128"/>
      <c r="N45" s="128"/>
      <c r="O45" s="128">
        <f t="shared" si="15"/>
        <v>400000</v>
      </c>
      <c r="P45" s="145"/>
      <c r="Q45" s="139"/>
      <c r="R45" s="139"/>
      <c r="S45" s="139"/>
      <c r="T45" s="145">
        <f t="shared" si="2"/>
        <v>0</v>
      </c>
      <c r="U45" s="146">
        <f t="shared" si="20"/>
        <v>0</v>
      </c>
    </row>
    <row r="46" spans="1:21" ht="38.25">
      <c r="A46" s="131" t="s">
        <v>119</v>
      </c>
      <c r="B46" s="77" t="s">
        <v>107</v>
      </c>
      <c r="C46" s="77">
        <v>2009</v>
      </c>
      <c r="D46" s="77">
        <v>2011</v>
      </c>
      <c r="E46" s="77">
        <v>700</v>
      </c>
      <c r="F46" s="77">
        <v>70095</v>
      </c>
      <c r="G46" s="315">
        <f>312847.9+403465.15+223754.75</f>
        <v>940067.8</v>
      </c>
      <c r="H46" s="218">
        <f>+G46</f>
        <v>940067.8</v>
      </c>
      <c r="I46" s="218"/>
      <c r="J46" s="218"/>
      <c r="K46" s="218"/>
      <c r="L46" s="128"/>
      <c r="M46" s="128"/>
      <c r="N46" s="128"/>
      <c r="O46" s="128">
        <f t="shared" si="15"/>
        <v>0</v>
      </c>
      <c r="P46" s="145">
        <v>700000</v>
      </c>
      <c r="Q46" s="139">
        <v>90000</v>
      </c>
      <c r="R46" s="139"/>
      <c r="S46" s="139"/>
      <c r="T46" s="145">
        <f t="shared" si="2"/>
        <v>0</v>
      </c>
      <c r="U46" s="146">
        <f t="shared" si="20"/>
        <v>790000</v>
      </c>
    </row>
    <row r="47" spans="1:21" ht="51">
      <c r="A47" s="131" t="s">
        <v>120</v>
      </c>
      <c r="B47" s="77" t="s">
        <v>107</v>
      </c>
      <c r="C47" s="77">
        <v>2009</v>
      </c>
      <c r="D47" s="77">
        <v>2012</v>
      </c>
      <c r="E47" s="77">
        <v>700</v>
      </c>
      <c r="F47" s="77">
        <v>70095</v>
      </c>
      <c r="G47" s="315">
        <f aca="true" t="shared" si="21" ref="G47:G52">SUM(H47:N47)</f>
        <v>1868686</v>
      </c>
      <c r="H47" s="218">
        <f>248686+1350000</f>
        <v>1598686</v>
      </c>
      <c r="I47" s="218"/>
      <c r="J47" s="218">
        <v>270000</v>
      </c>
      <c r="K47" s="218"/>
      <c r="L47" s="128"/>
      <c r="M47" s="128"/>
      <c r="N47" s="128"/>
      <c r="O47" s="128">
        <f t="shared" si="15"/>
        <v>270000</v>
      </c>
      <c r="P47" s="145">
        <v>420000</v>
      </c>
      <c r="Q47" s="139">
        <v>85000</v>
      </c>
      <c r="R47" s="139"/>
      <c r="S47" s="139"/>
      <c r="T47" s="145">
        <f t="shared" si="2"/>
        <v>0</v>
      </c>
      <c r="U47" s="146">
        <f t="shared" si="20"/>
        <v>505000</v>
      </c>
    </row>
    <row r="48" spans="1:21" ht="63.75">
      <c r="A48" s="131" t="s">
        <v>121</v>
      </c>
      <c r="B48" s="77" t="s">
        <v>107</v>
      </c>
      <c r="C48" s="77">
        <v>2009</v>
      </c>
      <c r="D48" s="77">
        <v>2012</v>
      </c>
      <c r="E48" s="77">
        <v>700</v>
      </c>
      <c r="F48" s="77">
        <v>70095</v>
      </c>
      <c r="G48" s="315">
        <f t="shared" si="21"/>
        <v>1258257</v>
      </c>
      <c r="H48" s="218">
        <f>228257+450000</f>
        <v>678257</v>
      </c>
      <c r="I48" s="218"/>
      <c r="J48" s="218">
        <v>580000</v>
      </c>
      <c r="K48" s="218"/>
      <c r="L48" s="128"/>
      <c r="M48" s="128"/>
      <c r="N48" s="128"/>
      <c r="O48" s="128">
        <f t="shared" si="15"/>
        <v>580000</v>
      </c>
      <c r="P48" s="145">
        <v>250000</v>
      </c>
      <c r="Q48" s="139">
        <v>157625</v>
      </c>
      <c r="R48" s="139"/>
      <c r="S48" s="139"/>
      <c r="T48" s="145">
        <f t="shared" si="2"/>
        <v>0</v>
      </c>
      <c r="U48" s="146">
        <f t="shared" si="20"/>
        <v>407625</v>
      </c>
    </row>
    <row r="49" spans="1:21" ht="25.5">
      <c r="A49" s="131" t="s">
        <v>122</v>
      </c>
      <c r="B49" s="77" t="s">
        <v>107</v>
      </c>
      <c r="C49" s="77">
        <v>2009</v>
      </c>
      <c r="D49" s="77">
        <v>2012</v>
      </c>
      <c r="E49" s="77">
        <v>700</v>
      </c>
      <c r="F49" s="77">
        <v>70095</v>
      </c>
      <c r="G49" s="315">
        <f t="shared" si="21"/>
        <v>535380</v>
      </c>
      <c r="H49" s="218">
        <v>35380</v>
      </c>
      <c r="I49" s="316"/>
      <c r="J49" s="218">
        <v>500000</v>
      </c>
      <c r="K49" s="218"/>
      <c r="L49" s="128"/>
      <c r="M49" s="128"/>
      <c r="N49" s="128"/>
      <c r="O49" s="128">
        <f t="shared" si="15"/>
        <v>500000</v>
      </c>
      <c r="P49" s="145">
        <v>350000</v>
      </c>
      <c r="Q49" s="139"/>
      <c r="R49" s="139"/>
      <c r="S49" s="139"/>
      <c r="T49" s="145">
        <f t="shared" si="2"/>
        <v>0</v>
      </c>
      <c r="U49" s="146">
        <f t="shared" si="20"/>
        <v>350000</v>
      </c>
    </row>
    <row r="50" spans="1:21" ht="38.25">
      <c r="A50" s="366" t="s">
        <v>127</v>
      </c>
      <c r="B50" s="77" t="s">
        <v>107</v>
      </c>
      <c r="C50" s="77">
        <v>2009</v>
      </c>
      <c r="D50" s="77">
        <v>2015</v>
      </c>
      <c r="E50" s="77">
        <v>750</v>
      </c>
      <c r="F50" s="77">
        <v>75023</v>
      </c>
      <c r="G50" s="315">
        <f t="shared" si="21"/>
        <v>6222542</v>
      </c>
      <c r="H50" s="218">
        <v>142542</v>
      </c>
      <c r="I50" s="218"/>
      <c r="J50" s="218"/>
      <c r="K50" s="218">
        <f>2050000+50000</f>
        <v>2100000</v>
      </c>
      <c r="L50" s="128">
        <v>3700000</v>
      </c>
      <c r="M50" s="128">
        <v>280000</v>
      </c>
      <c r="N50" s="128"/>
      <c r="O50" s="128">
        <f t="shared" si="15"/>
        <v>6080000</v>
      </c>
      <c r="P50" s="145"/>
      <c r="Q50" s="139"/>
      <c r="R50" s="139"/>
      <c r="S50" s="139"/>
      <c r="T50" s="145">
        <f t="shared" si="2"/>
        <v>0</v>
      </c>
      <c r="U50" s="146">
        <f t="shared" si="20"/>
        <v>0</v>
      </c>
    </row>
    <row r="51" spans="1:21" ht="38.25">
      <c r="A51" s="135" t="s">
        <v>125</v>
      </c>
      <c r="B51" s="77" t="s">
        <v>107</v>
      </c>
      <c r="C51" s="77">
        <v>2009</v>
      </c>
      <c r="D51" s="77">
        <v>2011</v>
      </c>
      <c r="E51" s="77">
        <v>754</v>
      </c>
      <c r="F51" s="77">
        <v>75412</v>
      </c>
      <c r="G51" s="315">
        <f t="shared" si="21"/>
        <v>1158749</v>
      </c>
      <c r="H51" s="218">
        <f>588749+570000</f>
        <v>1158749</v>
      </c>
      <c r="I51" s="218"/>
      <c r="J51" s="218"/>
      <c r="K51" s="218"/>
      <c r="L51" s="128"/>
      <c r="M51" s="128"/>
      <c r="N51" s="128"/>
      <c r="O51" s="128">
        <f t="shared" si="15"/>
        <v>0</v>
      </c>
      <c r="P51" s="145">
        <v>373163</v>
      </c>
      <c r="Q51" s="139"/>
      <c r="R51" s="139"/>
      <c r="S51" s="139"/>
      <c r="T51" s="145">
        <f t="shared" si="2"/>
        <v>0</v>
      </c>
      <c r="U51" s="146">
        <f t="shared" si="20"/>
        <v>373163</v>
      </c>
    </row>
    <row r="52" spans="1:21" ht="25.5">
      <c r="A52" s="135" t="s">
        <v>126</v>
      </c>
      <c r="B52" s="77" t="s">
        <v>107</v>
      </c>
      <c r="C52" s="77">
        <v>2009</v>
      </c>
      <c r="D52" s="77">
        <v>2011</v>
      </c>
      <c r="E52" s="77">
        <v>900</v>
      </c>
      <c r="F52" s="77">
        <v>90001</v>
      </c>
      <c r="G52" s="315">
        <f t="shared" si="21"/>
        <v>2567909</v>
      </c>
      <c r="H52" s="218">
        <f>1867909+700000</f>
        <v>2567909</v>
      </c>
      <c r="I52" s="218"/>
      <c r="J52" s="218"/>
      <c r="K52" s="218"/>
      <c r="L52" s="128"/>
      <c r="M52" s="128"/>
      <c r="N52" s="128"/>
      <c r="O52" s="128">
        <f t="shared" si="15"/>
        <v>0</v>
      </c>
      <c r="P52" s="145">
        <v>939021</v>
      </c>
      <c r="Q52" s="139"/>
      <c r="R52" s="139"/>
      <c r="S52" s="139"/>
      <c r="T52" s="145">
        <f t="shared" si="2"/>
        <v>0</v>
      </c>
      <c r="U52" s="146">
        <f t="shared" si="20"/>
        <v>939021</v>
      </c>
    </row>
    <row r="53" spans="1:21" ht="25.5">
      <c r="A53" s="131" t="s">
        <v>123</v>
      </c>
      <c r="B53" s="77" t="s">
        <v>107</v>
      </c>
      <c r="C53" s="77">
        <v>2009</v>
      </c>
      <c r="D53" s="77">
        <v>2012</v>
      </c>
      <c r="E53" s="77">
        <v>900</v>
      </c>
      <c r="F53" s="77">
        <v>90015</v>
      </c>
      <c r="G53" s="315">
        <f>124257.48+145698.46+38263</f>
        <v>308218.94</v>
      </c>
      <c r="H53" s="218">
        <f>+G53</f>
        <v>308218.94</v>
      </c>
      <c r="I53" s="218"/>
      <c r="J53" s="218"/>
      <c r="K53" s="218"/>
      <c r="L53" s="128"/>
      <c r="M53" s="128"/>
      <c r="N53" s="128"/>
      <c r="O53" s="128">
        <f t="shared" si="15"/>
        <v>0</v>
      </c>
      <c r="P53" s="145">
        <v>280000</v>
      </c>
      <c r="Q53" s="139"/>
      <c r="R53" s="139"/>
      <c r="S53" s="139"/>
      <c r="T53" s="145">
        <f t="shared" si="2"/>
        <v>0</v>
      </c>
      <c r="U53" s="146">
        <f t="shared" si="20"/>
        <v>280000</v>
      </c>
    </row>
    <row r="54" spans="1:21" ht="12.75">
      <c r="A54" s="314" t="s">
        <v>213</v>
      </c>
      <c r="B54" s="130"/>
      <c r="C54" s="130"/>
      <c r="D54" s="130"/>
      <c r="E54" s="136"/>
      <c r="F54" s="137"/>
      <c r="G54" s="315"/>
      <c r="H54" s="218"/>
      <c r="I54" s="218"/>
      <c r="J54" s="218"/>
      <c r="K54" s="218"/>
      <c r="L54" s="128"/>
      <c r="M54" s="128"/>
      <c r="N54" s="128"/>
      <c r="O54" s="128">
        <f t="shared" si="15"/>
        <v>0</v>
      </c>
      <c r="P54" s="145"/>
      <c r="Q54" s="139"/>
      <c r="R54" s="139"/>
      <c r="S54" s="139"/>
      <c r="T54" s="145">
        <f t="shared" si="2"/>
        <v>0</v>
      </c>
      <c r="U54" s="146">
        <f t="shared" si="20"/>
        <v>0</v>
      </c>
    </row>
    <row r="55" spans="1:21" ht="25.5">
      <c r="A55" s="131" t="s">
        <v>212</v>
      </c>
      <c r="B55" s="130" t="s">
        <v>107</v>
      </c>
      <c r="C55" s="130">
        <v>2012</v>
      </c>
      <c r="D55" s="130">
        <v>2013</v>
      </c>
      <c r="E55" s="130">
        <v>900</v>
      </c>
      <c r="F55" s="130">
        <v>90015</v>
      </c>
      <c r="G55" s="315">
        <f>SUM(H55:N55)</f>
        <v>350000</v>
      </c>
      <c r="H55" s="218">
        <v>0</v>
      </c>
      <c r="I55" s="218"/>
      <c r="J55" s="218">
        <v>150000</v>
      </c>
      <c r="K55" s="218">
        <v>200000</v>
      </c>
      <c r="L55" s="128"/>
      <c r="M55" s="128"/>
      <c r="N55" s="128"/>
      <c r="O55" s="128">
        <f t="shared" si="15"/>
        <v>350000</v>
      </c>
      <c r="P55" s="145"/>
      <c r="Q55" s="139"/>
      <c r="R55" s="139"/>
      <c r="S55" s="139"/>
      <c r="T55" s="145">
        <f t="shared" si="2"/>
        <v>0</v>
      </c>
      <c r="U55" s="146"/>
    </row>
    <row r="56" spans="1:21" ht="25.5">
      <c r="A56" s="132" t="s">
        <v>214</v>
      </c>
      <c r="B56" s="77" t="s">
        <v>107</v>
      </c>
      <c r="C56" s="77">
        <v>2012</v>
      </c>
      <c r="D56" s="77">
        <v>2013</v>
      </c>
      <c r="E56" s="77">
        <v>700</v>
      </c>
      <c r="F56" s="77">
        <v>70095</v>
      </c>
      <c r="G56" s="315">
        <v>400000</v>
      </c>
      <c r="H56" s="218"/>
      <c r="I56" s="218"/>
      <c r="J56" s="218">
        <v>100000</v>
      </c>
      <c r="K56" s="218">
        <v>300000</v>
      </c>
      <c r="L56" s="128"/>
      <c r="M56" s="128"/>
      <c r="N56" s="128"/>
      <c r="O56" s="128">
        <f t="shared" si="15"/>
        <v>400000</v>
      </c>
      <c r="P56" s="145"/>
      <c r="Q56" s="139"/>
      <c r="R56" s="139"/>
      <c r="S56" s="139"/>
      <c r="T56" s="145">
        <f t="shared" si="2"/>
        <v>0</v>
      </c>
      <c r="U56" s="146">
        <f aca="true" t="shared" si="22" ref="U56:U67">SUM(P56:T56)</f>
        <v>0</v>
      </c>
    </row>
    <row r="57" spans="1:21" ht="26.25" customHeight="1">
      <c r="A57" s="418" t="s">
        <v>108</v>
      </c>
      <c r="B57" s="419"/>
      <c r="C57" s="419"/>
      <c r="D57" s="419"/>
      <c r="E57" s="419"/>
      <c r="F57" s="420"/>
      <c r="G57" s="315">
        <f>SUM(H57:N57)</f>
        <v>0</v>
      </c>
      <c r="H57" s="218"/>
      <c r="I57" s="218"/>
      <c r="J57" s="218"/>
      <c r="K57" s="218"/>
      <c r="L57" s="128"/>
      <c r="M57" s="128"/>
      <c r="N57" s="128"/>
      <c r="O57" s="128">
        <f>SUM(I57:N57)</f>
        <v>0</v>
      </c>
      <c r="P57" s="145"/>
      <c r="Q57" s="139"/>
      <c r="R57" s="139"/>
      <c r="S57" s="139"/>
      <c r="T57" s="145">
        <f t="shared" si="2"/>
        <v>0</v>
      </c>
      <c r="U57" s="146">
        <f t="shared" si="22"/>
        <v>0</v>
      </c>
    </row>
    <row r="58" spans="1:21" ht="12.75">
      <c r="A58" s="132" t="s">
        <v>105</v>
      </c>
      <c r="B58" s="130"/>
      <c r="C58" s="130"/>
      <c r="D58" s="130"/>
      <c r="E58" s="421" t="s">
        <v>109</v>
      </c>
      <c r="F58" s="422"/>
      <c r="G58" s="315">
        <f>SUM(H58:N58)</f>
        <v>0</v>
      </c>
      <c r="H58" s="218"/>
      <c r="I58" s="218"/>
      <c r="J58" s="218"/>
      <c r="K58" s="218"/>
      <c r="L58" s="128"/>
      <c r="M58" s="128"/>
      <c r="N58" s="128"/>
      <c r="O58" s="128">
        <f>SUM(I58:N58)</f>
        <v>0</v>
      </c>
      <c r="P58" s="145"/>
      <c r="Q58" s="139"/>
      <c r="R58" s="139"/>
      <c r="S58" s="139"/>
      <c r="T58" s="145">
        <f t="shared" si="2"/>
        <v>0</v>
      </c>
      <c r="U58" s="146">
        <f t="shared" si="22"/>
        <v>0</v>
      </c>
    </row>
    <row r="59" spans="1:21" ht="12.75">
      <c r="A59" s="132"/>
      <c r="B59" s="130"/>
      <c r="C59" s="130"/>
      <c r="D59" s="130"/>
      <c r="E59" s="130"/>
      <c r="F59" s="130"/>
      <c r="G59" s="315">
        <f>SUM(H59:N59)</f>
        <v>0</v>
      </c>
      <c r="H59" s="218"/>
      <c r="I59" s="218"/>
      <c r="J59" s="218"/>
      <c r="K59" s="218"/>
      <c r="L59" s="128"/>
      <c r="M59" s="128"/>
      <c r="N59" s="128"/>
      <c r="O59" s="128">
        <f>SUM(I59:N59)</f>
        <v>0</v>
      </c>
      <c r="P59" s="145"/>
      <c r="Q59" s="139"/>
      <c r="R59" s="139"/>
      <c r="S59" s="139"/>
      <c r="T59" s="145">
        <f t="shared" si="2"/>
        <v>0</v>
      </c>
      <c r="U59" s="146">
        <f t="shared" si="22"/>
        <v>0</v>
      </c>
    </row>
    <row r="60" spans="1:21" ht="12.75" customHeight="1">
      <c r="A60" s="418" t="s">
        <v>129</v>
      </c>
      <c r="B60" s="419"/>
      <c r="C60" s="419"/>
      <c r="D60" s="419"/>
      <c r="E60" s="419"/>
      <c r="F60" s="420"/>
      <c r="G60" s="315">
        <f>+G61</f>
        <v>47027643</v>
      </c>
      <c r="H60" s="315">
        <f aca="true" t="shared" si="23" ref="H60:S60">+H61</f>
        <v>4157643</v>
      </c>
      <c r="I60" s="315">
        <f t="shared" si="23"/>
        <v>0</v>
      </c>
      <c r="J60" s="315">
        <f t="shared" si="23"/>
        <v>6600000</v>
      </c>
      <c r="K60" s="315">
        <f t="shared" si="23"/>
        <v>4610000</v>
      </c>
      <c r="L60" s="127">
        <f t="shared" si="23"/>
        <v>10000000</v>
      </c>
      <c r="M60" s="127">
        <f t="shared" si="23"/>
        <v>12660000</v>
      </c>
      <c r="N60" s="127">
        <f t="shared" si="23"/>
        <v>9000000</v>
      </c>
      <c r="O60" s="127">
        <f aca="true" t="shared" si="24" ref="O60:O71">SUM(J60:N60)</f>
        <v>42870000</v>
      </c>
      <c r="P60" s="134">
        <f t="shared" si="23"/>
        <v>0</v>
      </c>
      <c r="Q60" s="127">
        <f t="shared" si="23"/>
        <v>0</v>
      </c>
      <c r="R60" s="127">
        <f t="shared" si="23"/>
        <v>0</v>
      </c>
      <c r="S60" s="127">
        <f t="shared" si="23"/>
        <v>0</v>
      </c>
      <c r="T60" s="145">
        <f t="shared" si="2"/>
        <v>0</v>
      </c>
      <c r="U60" s="146">
        <f t="shared" si="22"/>
        <v>0</v>
      </c>
    </row>
    <row r="61" spans="1:21" ht="18" customHeight="1">
      <c r="A61" s="125" t="s">
        <v>130</v>
      </c>
      <c r="B61" s="130"/>
      <c r="C61" s="130"/>
      <c r="D61" s="130"/>
      <c r="E61" s="421" t="s">
        <v>109</v>
      </c>
      <c r="F61" s="422"/>
      <c r="G61" s="315">
        <f aca="true" t="shared" si="25" ref="G61:N61">SUM(G62:G74)</f>
        <v>47027643</v>
      </c>
      <c r="H61" s="315">
        <f t="shared" si="25"/>
        <v>4157643</v>
      </c>
      <c r="I61" s="315">
        <f t="shared" si="25"/>
        <v>0</v>
      </c>
      <c r="J61" s="315">
        <f t="shared" si="25"/>
        <v>6600000</v>
      </c>
      <c r="K61" s="315">
        <f t="shared" si="25"/>
        <v>4610000</v>
      </c>
      <c r="L61" s="127">
        <f t="shared" si="25"/>
        <v>10000000</v>
      </c>
      <c r="M61" s="127">
        <f t="shared" si="25"/>
        <v>12660000</v>
      </c>
      <c r="N61" s="127">
        <f t="shared" si="25"/>
        <v>9000000</v>
      </c>
      <c r="O61" s="127">
        <f t="shared" si="24"/>
        <v>42870000</v>
      </c>
      <c r="P61" s="145">
        <f>+H61+O61-G61</f>
        <v>0</v>
      </c>
      <c r="Q61" s="139"/>
      <c r="R61" s="139"/>
      <c r="S61" s="139"/>
      <c r="T61" s="145">
        <f t="shared" si="2"/>
        <v>0</v>
      </c>
      <c r="U61" s="146">
        <f t="shared" si="22"/>
        <v>0</v>
      </c>
    </row>
    <row r="62" spans="1:21" ht="25.5">
      <c r="A62" s="131" t="s">
        <v>131</v>
      </c>
      <c r="B62" s="77" t="s">
        <v>107</v>
      </c>
      <c r="C62" s="77">
        <v>2010</v>
      </c>
      <c r="D62" s="77">
        <v>2014</v>
      </c>
      <c r="E62" s="77">
        <v>600</v>
      </c>
      <c r="F62" s="77">
        <v>60016</v>
      </c>
      <c r="G62" s="315">
        <f aca="true" t="shared" si="26" ref="G62:G74">SUM(H62:N62)</f>
        <v>3065000</v>
      </c>
      <c r="H62" s="218">
        <v>65000</v>
      </c>
      <c r="I62" s="218"/>
      <c r="J62" s="218"/>
      <c r="K62" s="218">
        <f>1000000-250000</f>
        <v>750000</v>
      </c>
      <c r="L62" s="128">
        <f>2000000+250000</f>
        <v>2250000</v>
      </c>
      <c r="M62" s="128"/>
      <c r="N62" s="128"/>
      <c r="O62" s="128">
        <f t="shared" si="24"/>
        <v>3000000</v>
      </c>
      <c r="P62" s="145"/>
      <c r="Q62" s="139"/>
      <c r="R62" s="139"/>
      <c r="S62" s="139"/>
      <c r="T62" s="145">
        <f t="shared" si="2"/>
        <v>0</v>
      </c>
      <c r="U62" s="146">
        <f t="shared" si="22"/>
        <v>0</v>
      </c>
    </row>
    <row r="63" spans="1:21" ht="38.25">
      <c r="A63" s="131" t="s">
        <v>132</v>
      </c>
      <c r="B63" s="77" t="s">
        <v>107</v>
      </c>
      <c r="C63" s="77">
        <v>2009</v>
      </c>
      <c r="D63" s="77">
        <v>2013</v>
      </c>
      <c r="E63" s="77">
        <v>600</v>
      </c>
      <c r="F63" s="77">
        <v>60016</v>
      </c>
      <c r="G63" s="315">
        <f t="shared" si="26"/>
        <v>2084424</v>
      </c>
      <c r="H63" s="218">
        <f>84424+200000</f>
        <v>284424</v>
      </c>
      <c r="I63" s="218"/>
      <c r="J63" s="218">
        <f>800000-50000+150000</f>
        <v>900000</v>
      </c>
      <c r="K63" s="218">
        <f>1000000+50000-150000</f>
        <v>900000</v>
      </c>
      <c r="L63" s="128"/>
      <c r="M63" s="128"/>
      <c r="N63" s="128"/>
      <c r="O63" s="128">
        <f t="shared" si="24"/>
        <v>1800000</v>
      </c>
      <c r="P63" s="145"/>
      <c r="Q63" s="139"/>
      <c r="R63" s="139"/>
      <c r="S63" s="139"/>
      <c r="T63" s="145">
        <f t="shared" si="2"/>
        <v>0</v>
      </c>
      <c r="U63" s="146">
        <f t="shared" si="22"/>
        <v>0</v>
      </c>
    </row>
    <row r="64" spans="1:21" ht="25.5">
      <c r="A64" s="131" t="s">
        <v>133</v>
      </c>
      <c r="B64" s="77" t="s">
        <v>107</v>
      </c>
      <c r="C64" s="77">
        <v>2012</v>
      </c>
      <c r="D64" s="77">
        <v>2013</v>
      </c>
      <c r="E64" s="77">
        <v>600</v>
      </c>
      <c r="F64" s="77">
        <v>60016</v>
      </c>
      <c r="G64" s="315">
        <f t="shared" si="26"/>
        <v>850000</v>
      </c>
      <c r="H64" s="218"/>
      <c r="I64" s="218"/>
      <c r="J64" s="218">
        <f>850000-250000</f>
        <v>600000</v>
      </c>
      <c r="K64" s="218">
        <v>250000</v>
      </c>
      <c r="L64" s="128"/>
      <c r="M64" s="128"/>
      <c r="N64" s="128"/>
      <c r="O64" s="128">
        <f t="shared" si="24"/>
        <v>850000</v>
      </c>
      <c r="P64" s="145"/>
      <c r="Q64" s="139"/>
      <c r="R64" s="139"/>
      <c r="S64" s="139"/>
      <c r="T64" s="145">
        <f t="shared" si="2"/>
        <v>0</v>
      </c>
      <c r="U64" s="146">
        <f t="shared" si="22"/>
        <v>0</v>
      </c>
    </row>
    <row r="65" spans="1:21" ht="25.5">
      <c r="A65" s="131" t="s">
        <v>134</v>
      </c>
      <c r="B65" s="77" t="s">
        <v>107</v>
      </c>
      <c r="C65" s="77">
        <v>2011</v>
      </c>
      <c r="D65" s="77">
        <v>2013</v>
      </c>
      <c r="E65" s="77">
        <v>600</v>
      </c>
      <c r="F65" s="77">
        <v>60016</v>
      </c>
      <c r="G65" s="315">
        <f t="shared" si="26"/>
        <v>1014640</v>
      </c>
      <c r="H65" s="218">
        <v>14640</v>
      </c>
      <c r="I65" s="218"/>
      <c r="J65" s="218"/>
      <c r="K65" s="218">
        <v>1000000</v>
      </c>
      <c r="L65" s="128"/>
      <c r="M65" s="128"/>
      <c r="N65" s="128"/>
      <c r="O65" s="128">
        <f t="shared" si="24"/>
        <v>1000000</v>
      </c>
      <c r="P65" s="145"/>
      <c r="Q65" s="139"/>
      <c r="R65" s="139"/>
      <c r="S65" s="139"/>
      <c r="T65" s="145">
        <f t="shared" si="2"/>
        <v>0</v>
      </c>
      <c r="U65" s="146">
        <f t="shared" si="22"/>
        <v>0</v>
      </c>
    </row>
    <row r="66" spans="1:21" ht="25.5">
      <c r="A66" s="131" t="s">
        <v>135</v>
      </c>
      <c r="B66" s="77" t="s">
        <v>107</v>
      </c>
      <c r="C66" s="77">
        <v>2009</v>
      </c>
      <c r="D66" s="77">
        <v>2013</v>
      </c>
      <c r="E66" s="77">
        <v>600</v>
      </c>
      <c r="F66" s="77">
        <v>60016</v>
      </c>
      <c r="G66" s="315">
        <f t="shared" si="26"/>
        <v>930000</v>
      </c>
      <c r="H66" s="218">
        <f>30000+100000</f>
        <v>130000</v>
      </c>
      <c r="I66" s="218"/>
      <c r="J66" s="218">
        <v>400000</v>
      </c>
      <c r="K66" s="218">
        <v>400000</v>
      </c>
      <c r="L66" s="128"/>
      <c r="M66" s="128"/>
      <c r="N66" s="128"/>
      <c r="O66" s="128">
        <f t="shared" si="24"/>
        <v>800000</v>
      </c>
      <c r="P66" s="145"/>
      <c r="Q66" s="139"/>
      <c r="R66" s="139"/>
      <c r="S66" s="139"/>
      <c r="T66" s="145">
        <f t="shared" si="2"/>
        <v>0</v>
      </c>
      <c r="U66" s="146">
        <f t="shared" si="22"/>
        <v>0</v>
      </c>
    </row>
    <row r="67" spans="1:21" ht="38.25">
      <c r="A67" s="131" t="s">
        <v>136</v>
      </c>
      <c r="B67" s="77" t="s">
        <v>107</v>
      </c>
      <c r="C67" s="77">
        <v>2013</v>
      </c>
      <c r="D67" s="77">
        <v>2014</v>
      </c>
      <c r="E67" s="77">
        <v>700</v>
      </c>
      <c r="F67" s="77">
        <v>70095</v>
      </c>
      <c r="G67" s="315">
        <f t="shared" si="26"/>
        <v>860000</v>
      </c>
      <c r="H67" s="218"/>
      <c r="I67" s="218"/>
      <c r="J67" s="218"/>
      <c r="K67" s="218">
        <v>60000</v>
      </c>
      <c r="L67" s="128">
        <v>800000</v>
      </c>
      <c r="M67" s="128"/>
      <c r="N67" s="128"/>
      <c r="O67" s="128">
        <f t="shared" si="24"/>
        <v>860000</v>
      </c>
      <c r="P67" s="145"/>
      <c r="Q67" s="139"/>
      <c r="R67" s="139"/>
      <c r="S67" s="139"/>
      <c r="T67" s="145">
        <f t="shared" si="2"/>
        <v>0</v>
      </c>
      <c r="U67" s="146">
        <f t="shared" si="22"/>
        <v>0</v>
      </c>
    </row>
    <row r="68" spans="1:21" ht="38.25">
      <c r="A68" s="131" t="s">
        <v>211</v>
      </c>
      <c r="B68" s="77" t="s">
        <v>107</v>
      </c>
      <c r="C68" s="77">
        <v>2011</v>
      </c>
      <c r="D68" s="77">
        <v>2014</v>
      </c>
      <c r="E68" s="77">
        <v>700</v>
      </c>
      <c r="F68" s="77">
        <v>70095</v>
      </c>
      <c r="G68" s="315">
        <f t="shared" si="26"/>
        <v>8100000</v>
      </c>
      <c r="H68" s="218">
        <v>100000</v>
      </c>
      <c r="I68" s="218"/>
      <c r="J68" s="218">
        <v>4500000</v>
      </c>
      <c r="K68" s="218">
        <f>500000+600000</f>
        <v>1100000</v>
      </c>
      <c r="L68" s="128">
        <f>3000000-600000</f>
        <v>2400000</v>
      </c>
      <c r="M68" s="128"/>
      <c r="N68" s="128"/>
      <c r="O68" s="128">
        <f t="shared" si="24"/>
        <v>8000000</v>
      </c>
      <c r="P68" s="145"/>
      <c r="Q68" s="139"/>
      <c r="R68" s="139"/>
      <c r="S68" s="139"/>
      <c r="T68" s="145">
        <f t="shared" si="2"/>
        <v>0</v>
      </c>
      <c r="U68" s="146"/>
    </row>
    <row r="69" spans="1:21" ht="12.75">
      <c r="A69" s="131" t="s">
        <v>139</v>
      </c>
      <c r="B69" s="77" t="s">
        <v>107</v>
      </c>
      <c r="C69" s="77">
        <v>2008</v>
      </c>
      <c r="D69" s="77">
        <v>2011</v>
      </c>
      <c r="E69" s="77">
        <v>700</v>
      </c>
      <c r="F69" s="77">
        <v>70095</v>
      </c>
      <c r="G69" s="315">
        <f t="shared" si="26"/>
        <v>2338247</v>
      </c>
      <c r="H69" s="218">
        <f>1838247+500000</f>
        <v>2338247</v>
      </c>
      <c r="I69" s="218"/>
      <c r="J69" s="218"/>
      <c r="K69" s="218"/>
      <c r="L69" s="128"/>
      <c r="M69" s="128"/>
      <c r="N69" s="128"/>
      <c r="O69" s="128">
        <f t="shared" si="24"/>
        <v>0</v>
      </c>
      <c r="P69" s="145">
        <v>440000</v>
      </c>
      <c r="Q69" s="139"/>
      <c r="R69" s="139"/>
      <c r="S69" s="139"/>
      <c r="T69" s="145">
        <f t="shared" si="2"/>
        <v>0</v>
      </c>
      <c r="U69" s="146">
        <f aca="true" t="shared" si="27" ref="U69:U75">SUM(P69:T69)</f>
        <v>440000</v>
      </c>
    </row>
    <row r="70" spans="1:21" ht="12.75">
      <c r="A70" s="131" t="s">
        <v>137</v>
      </c>
      <c r="B70" s="77"/>
      <c r="C70" s="77">
        <v>2012</v>
      </c>
      <c r="D70" s="77">
        <v>2015</v>
      </c>
      <c r="E70" s="77">
        <v>900</v>
      </c>
      <c r="F70" s="77">
        <v>90001</v>
      </c>
      <c r="G70" s="315">
        <f t="shared" si="26"/>
        <v>2150000</v>
      </c>
      <c r="H70" s="218">
        <v>0</v>
      </c>
      <c r="I70" s="218"/>
      <c r="J70" s="218">
        <v>100000</v>
      </c>
      <c r="K70" s="218"/>
      <c r="L70" s="128">
        <f>2000000-800000+50000</f>
        <v>1250000</v>
      </c>
      <c r="M70" s="128">
        <v>800000</v>
      </c>
      <c r="N70" s="128"/>
      <c r="O70" s="128">
        <f t="shared" si="24"/>
        <v>2150000</v>
      </c>
      <c r="P70" s="145"/>
      <c r="Q70" s="139"/>
      <c r="R70" s="139"/>
      <c r="S70" s="139"/>
      <c r="T70" s="145">
        <f t="shared" si="2"/>
        <v>0</v>
      </c>
      <c r="U70" s="146">
        <f t="shared" si="27"/>
        <v>0</v>
      </c>
    </row>
    <row r="71" spans="1:21" ht="25.5">
      <c r="A71" s="131" t="s">
        <v>138</v>
      </c>
      <c r="B71" s="77" t="s">
        <v>107</v>
      </c>
      <c r="C71" s="77">
        <v>2013</v>
      </c>
      <c r="D71" s="77">
        <v>2015</v>
      </c>
      <c r="E71" s="77">
        <v>900</v>
      </c>
      <c r="F71" s="77">
        <v>90001</v>
      </c>
      <c r="G71" s="315">
        <f t="shared" si="26"/>
        <v>3210000</v>
      </c>
      <c r="H71" s="218">
        <v>0</v>
      </c>
      <c r="I71" s="218"/>
      <c r="J71" s="218"/>
      <c r="K71" s="218">
        <v>150000</v>
      </c>
      <c r="L71" s="128">
        <v>0</v>
      </c>
      <c r="M71" s="128">
        <f>3000000+1000000-940000</f>
        <v>3060000</v>
      </c>
      <c r="N71" s="128"/>
      <c r="O71" s="128">
        <f t="shared" si="24"/>
        <v>3210000</v>
      </c>
      <c r="P71" s="145"/>
      <c r="Q71" s="139"/>
      <c r="R71" s="139"/>
      <c r="S71" s="139"/>
      <c r="T71" s="145">
        <f t="shared" si="2"/>
        <v>0</v>
      </c>
      <c r="U71" s="146">
        <f t="shared" si="27"/>
        <v>0</v>
      </c>
    </row>
    <row r="72" spans="1:21" ht="38.25">
      <c r="A72" s="135" t="s">
        <v>141</v>
      </c>
      <c r="B72" s="77" t="s">
        <v>107</v>
      </c>
      <c r="C72" s="77">
        <v>2010</v>
      </c>
      <c r="D72" s="77">
        <v>2011</v>
      </c>
      <c r="E72" s="77">
        <v>900</v>
      </c>
      <c r="F72" s="77">
        <v>90095</v>
      </c>
      <c r="G72" s="315">
        <f t="shared" si="26"/>
        <v>899990</v>
      </c>
      <c r="H72" s="218">
        <f>549990+350000</f>
        <v>899990</v>
      </c>
      <c r="I72" s="218"/>
      <c r="J72" s="218"/>
      <c r="K72" s="218"/>
      <c r="L72" s="128"/>
      <c r="M72" s="128"/>
      <c r="N72" s="128"/>
      <c r="O72" s="128">
        <f>SUM(I72:N72)</f>
        <v>0</v>
      </c>
      <c r="P72" s="145">
        <v>291900</v>
      </c>
      <c r="Q72" s="139"/>
      <c r="R72" s="139"/>
      <c r="S72" s="139"/>
      <c r="T72" s="145">
        <f t="shared" si="2"/>
        <v>0</v>
      </c>
      <c r="U72" s="146">
        <f t="shared" si="27"/>
        <v>291900</v>
      </c>
    </row>
    <row r="73" spans="1:21" ht="38.25">
      <c r="A73" s="131" t="s">
        <v>226</v>
      </c>
      <c r="B73" s="77" t="s">
        <v>107</v>
      </c>
      <c r="C73" s="77">
        <v>2011</v>
      </c>
      <c r="D73" s="77">
        <v>2015</v>
      </c>
      <c r="E73" s="77">
        <v>926</v>
      </c>
      <c r="F73" s="77">
        <v>92601</v>
      </c>
      <c r="G73" s="315">
        <f t="shared" si="26"/>
        <v>1200000</v>
      </c>
      <c r="H73" s="218">
        <v>0</v>
      </c>
      <c r="I73" s="218"/>
      <c r="J73" s="218">
        <v>100000</v>
      </c>
      <c r="K73" s="218"/>
      <c r="L73" s="128">
        <f>500000+600000-800000</f>
        <v>300000</v>
      </c>
      <c r="M73" s="128">
        <f>800000</f>
        <v>800000</v>
      </c>
      <c r="N73" s="128"/>
      <c r="O73" s="128">
        <f aca="true" t="shared" si="28" ref="O73:O79">SUM(J73:N73)</f>
        <v>1200000</v>
      </c>
      <c r="P73" s="145"/>
      <c r="Q73" s="139"/>
      <c r="R73" s="139"/>
      <c r="S73" s="139"/>
      <c r="T73" s="145">
        <f t="shared" si="2"/>
        <v>0</v>
      </c>
      <c r="U73" s="146">
        <f t="shared" si="27"/>
        <v>0</v>
      </c>
    </row>
    <row r="74" spans="1:21" ht="25.5">
      <c r="A74" s="366" t="s">
        <v>140</v>
      </c>
      <c r="B74" s="77" t="s">
        <v>107</v>
      </c>
      <c r="C74" s="77">
        <v>2009</v>
      </c>
      <c r="D74" s="77">
        <v>2016</v>
      </c>
      <c r="E74" s="77">
        <v>926</v>
      </c>
      <c r="F74" s="77">
        <v>92601</v>
      </c>
      <c r="G74" s="315">
        <f t="shared" si="26"/>
        <v>20325342</v>
      </c>
      <c r="H74" s="218">
        <f>125342+200000</f>
        <v>325342</v>
      </c>
      <c r="I74" s="218"/>
      <c r="J74" s="218"/>
      <c r="K74" s="218"/>
      <c r="L74" s="128">
        <v>3000000</v>
      </c>
      <c r="M74" s="128">
        <v>8000000</v>
      </c>
      <c r="N74" s="128">
        <v>9000000</v>
      </c>
      <c r="O74" s="128">
        <f t="shared" si="28"/>
        <v>20000000</v>
      </c>
      <c r="P74" s="145"/>
      <c r="Q74" s="139"/>
      <c r="R74" s="139"/>
      <c r="S74" s="139"/>
      <c r="T74" s="145">
        <f t="shared" si="2"/>
        <v>0</v>
      </c>
      <c r="U74" s="146">
        <f t="shared" si="27"/>
        <v>0</v>
      </c>
    </row>
    <row r="75" spans="1:21" ht="39.75" customHeight="1">
      <c r="A75" s="416" t="s">
        <v>111</v>
      </c>
      <c r="B75" s="416"/>
      <c r="C75" s="416"/>
      <c r="D75" s="416"/>
      <c r="E75" s="416"/>
      <c r="F75" s="416"/>
      <c r="G75" s="315">
        <f>+G76+G78+G80</f>
        <v>2256252.71</v>
      </c>
      <c r="H75" s="315">
        <f>+H76+H78</f>
        <v>1521428.3900000001</v>
      </c>
      <c r="I75" s="315">
        <f aca="true" t="shared" si="29" ref="I75:N75">+I76+I78</f>
        <v>0</v>
      </c>
      <c r="J75" s="315">
        <f t="shared" si="29"/>
        <v>262201.72</v>
      </c>
      <c r="K75" s="315">
        <f t="shared" si="29"/>
        <v>262201.72</v>
      </c>
      <c r="L75" s="127">
        <f t="shared" si="29"/>
        <v>105210.44</v>
      </c>
      <c r="M75" s="127">
        <f t="shared" si="29"/>
        <v>105210.44</v>
      </c>
      <c r="N75" s="127">
        <f t="shared" si="29"/>
        <v>0</v>
      </c>
      <c r="O75" s="127">
        <f t="shared" si="28"/>
        <v>734824.3199999998</v>
      </c>
      <c r="P75" s="145"/>
      <c r="Q75" s="139"/>
      <c r="R75" s="139"/>
      <c r="S75" s="139"/>
      <c r="T75" s="145">
        <f t="shared" si="2"/>
        <v>0</v>
      </c>
      <c r="U75" s="146">
        <f t="shared" si="27"/>
        <v>0</v>
      </c>
    </row>
    <row r="76" spans="1:21" ht="12.75">
      <c r="A76" s="132" t="s">
        <v>112</v>
      </c>
      <c r="B76" s="130"/>
      <c r="C76" s="130"/>
      <c r="D76" s="130"/>
      <c r="E76" s="417" t="s">
        <v>109</v>
      </c>
      <c r="F76" s="417"/>
      <c r="G76" s="128">
        <f>SUM(H77:N77)</f>
        <v>1098938.71</v>
      </c>
      <c r="H76" s="128">
        <f>+H77</f>
        <v>784956.15</v>
      </c>
      <c r="I76" s="128">
        <f aca="true" t="shared" si="30" ref="I76:N76">+I77</f>
        <v>0</v>
      </c>
      <c r="J76" s="128">
        <f t="shared" si="30"/>
        <v>156991.28</v>
      </c>
      <c r="K76" s="128">
        <f t="shared" si="30"/>
        <v>156991.28</v>
      </c>
      <c r="L76" s="128">
        <f t="shared" si="30"/>
        <v>0</v>
      </c>
      <c r="M76" s="128">
        <f t="shared" si="30"/>
        <v>0</v>
      </c>
      <c r="N76" s="128">
        <f t="shared" si="30"/>
        <v>0</v>
      </c>
      <c r="O76" s="128">
        <f t="shared" si="28"/>
        <v>313982.56</v>
      </c>
      <c r="P76" s="145"/>
      <c r="Q76" s="139"/>
      <c r="R76" s="139"/>
      <c r="S76" s="139"/>
      <c r="T76" s="145">
        <f>+H76+O76-G76</f>
        <v>0</v>
      </c>
      <c r="U76" s="146"/>
    </row>
    <row r="77" spans="1:21" ht="25.5">
      <c r="A77" s="138" t="s">
        <v>223</v>
      </c>
      <c r="B77" s="85" t="s">
        <v>107</v>
      </c>
      <c r="C77" s="85">
        <v>2002</v>
      </c>
      <c r="D77" s="85">
        <v>2013</v>
      </c>
      <c r="E77" s="103">
        <v>700</v>
      </c>
      <c r="F77" s="103">
        <v>70005</v>
      </c>
      <c r="G77" s="139">
        <f>+H77+O77</f>
        <v>1098938.71</v>
      </c>
      <c r="H77" s="128">
        <v>784956.15</v>
      </c>
      <c r="I77" s="128"/>
      <c r="J77" s="128">
        <f>39247.82*4</f>
        <v>156991.28</v>
      </c>
      <c r="K77" s="128">
        <f>39247.82*4</f>
        <v>156991.28</v>
      </c>
      <c r="L77" s="128"/>
      <c r="M77" s="128"/>
      <c r="N77" s="128"/>
      <c r="O77" s="128">
        <f t="shared" si="28"/>
        <v>313982.56</v>
      </c>
      <c r="P77" s="145"/>
      <c r="Q77" s="139"/>
      <c r="R77" s="139"/>
      <c r="S77" s="139"/>
      <c r="T77" s="145">
        <f>+H77+O77-G77</f>
        <v>0</v>
      </c>
      <c r="U77" s="146">
        <f>SUM(P77:T77)</f>
        <v>0</v>
      </c>
    </row>
    <row r="78" spans="1:21" ht="12.75">
      <c r="A78" s="132" t="s">
        <v>143</v>
      </c>
      <c r="B78" s="130"/>
      <c r="C78" s="130"/>
      <c r="D78" s="130"/>
      <c r="E78" s="417" t="s">
        <v>109</v>
      </c>
      <c r="F78" s="417"/>
      <c r="G78" s="128">
        <f>+G79</f>
        <v>1157314</v>
      </c>
      <c r="H78" s="128">
        <f>+H79</f>
        <v>736472.24</v>
      </c>
      <c r="I78" s="128">
        <f aca="true" t="shared" si="31" ref="I78:N78">+I79</f>
        <v>0</v>
      </c>
      <c r="J78" s="128">
        <f t="shared" si="31"/>
        <v>105210.44</v>
      </c>
      <c r="K78" s="128">
        <f t="shared" si="31"/>
        <v>105210.44</v>
      </c>
      <c r="L78" s="128">
        <f t="shared" si="31"/>
        <v>105210.44</v>
      </c>
      <c r="M78" s="128">
        <f t="shared" si="31"/>
        <v>105210.44</v>
      </c>
      <c r="N78" s="128">
        <f t="shared" si="31"/>
        <v>0</v>
      </c>
      <c r="O78" s="128">
        <f t="shared" si="28"/>
        <v>420841.76</v>
      </c>
      <c r="P78" s="145"/>
      <c r="Q78" s="139"/>
      <c r="R78" s="139"/>
      <c r="S78" s="139"/>
      <c r="T78" s="145">
        <f>+H78+O78-G78</f>
        <v>0</v>
      </c>
      <c r="U78" s="146">
        <f>SUM(P78:T78)</f>
        <v>0</v>
      </c>
    </row>
    <row r="79" spans="1:21" ht="25.5">
      <c r="A79" s="138" t="s">
        <v>142</v>
      </c>
      <c r="B79" s="85" t="s">
        <v>107</v>
      </c>
      <c r="C79" s="85">
        <v>2005</v>
      </c>
      <c r="D79" s="85">
        <v>2016</v>
      </c>
      <c r="E79" s="103">
        <v>700</v>
      </c>
      <c r="F79" s="103">
        <v>70005</v>
      </c>
      <c r="G79" s="139">
        <f>+H79+O79</f>
        <v>1157314</v>
      </c>
      <c r="H79" s="128">
        <v>736472.24</v>
      </c>
      <c r="I79" s="128"/>
      <c r="J79" s="128">
        <f>26302.61*4</f>
        <v>105210.44</v>
      </c>
      <c r="K79" s="128">
        <f>26302.61*4</f>
        <v>105210.44</v>
      </c>
      <c r="L79" s="128">
        <f>26302.61*4</f>
        <v>105210.44</v>
      </c>
      <c r="M79" s="128">
        <f>26302.61*4</f>
        <v>105210.44</v>
      </c>
      <c r="N79" s="128"/>
      <c r="O79" s="128">
        <f t="shared" si="28"/>
        <v>420841.76</v>
      </c>
      <c r="P79" s="145"/>
      <c r="Q79" s="139"/>
      <c r="R79" s="139"/>
      <c r="S79" s="139"/>
      <c r="T79" s="145">
        <f>+H79+O79-G79</f>
        <v>0</v>
      </c>
      <c r="U79" s="146"/>
    </row>
    <row r="80" spans="1:21" ht="12.75">
      <c r="A80" s="130" t="s">
        <v>144</v>
      </c>
      <c r="B80" s="130"/>
      <c r="C80" s="130"/>
      <c r="D80" s="130"/>
      <c r="E80" s="417" t="s">
        <v>109</v>
      </c>
      <c r="F80" s="417"/>
      <c r="G80" s="127">
        <f>SUM(H80:N80)</f>
        <v>0</v>
      </c>
      <c r="H80" s="128"/>
      <c r="I80" s="128"/>
      <c r="J80" s="128"/>
      <c r="K80" s="128"/>
      <c r="L80" s="128"/>
      <c r="M80" s="128"/>
      <c r="N80" s="128"/>
      <c r="O80" s="128">
        <f>SUM(I80:N80)</f>
        <v>0</v>
      </c>
      <c r="P80" s="145"/>
      <c r="Q80" s="139"/>
      <c r="R80" s="139"/>
      <c r="S80" s="139"/>
      <c r="T80" s="145">
        <f>+H80+O80-G80</f>
        <v>0</v>
      </c>
      <c r="U80" s="146">
        <f>SUM(P80:T80)</f>
        <v>0</v>
      </c>
    </row>
    <row r="81" spans="1:21" ht="12.75">
      <c r="A81" s="130"/>
      <c r="B81" s="130"/>
      <c r="C81" s="130"/>
      <c r="D81" s="130"/>
      <c r="E81" s="130"/>
      <c r="F81" s="130"/>
      <c r="G81" s="127">
        <f>SUM(H81:N81)</f>
        <v>0</v>
      </c>
      <c r="H81" s="128"/>
      <c r="I81" s="128"/>
      <c r="J81" s="128"/>
      <c r="K81" s="128"/>
      <c r="L81" s="128"/>
      <c r="M81" s="128"/>
      <c r="N81" s="128"/>
      <c r="O81" s="128">
        <f>SUM(I81:N81)</f>
        <v>0</v>
      </c>
      <c r="P81" s="145"/>
      <c r="Q81" s="139"/>
      <c r="R81" s="139"/>
      <c r="S81" s="139"/>
      <c r="T81" s="139"/>
      <c r="U81" s="146">
        <f>SUM(P81:T81)</f>
        <v>0</v>
      </c>
    </row>
    <row r="82" spans="7:21" ht="12.75">
      <c r="G82" s="14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7:21" ht="12.75">
      <c r="G83" s="14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7:21" ht="12.75">
      <c r="G84" s="14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7:21" ht="12.75">
      <c r="G85" s="14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</sheetData>
  <mergeCells count="35">
    <mergeCell ref="P6:T7"/>
    <mergeCell ref="U6:U7"/>
    <mergeCell ref="C7:D7"/>
    <mergeCell ref="O6:O7"/>
    <mergeCell ref="A11:F11"/>
    <mergeCell ref="G6:G7"/>
    <mergeCell ref="H6:H7"/>
    <mergeCell ref="A6:A7"/>
    <mergeCell ref="B6:B7"/>
    <mergeCell ref="C6:D6"/>
    <mergeCell ref="E6:F7"/>
    <mergeCell ref="A13:F13"/>
    <mergeCell ref="A15:F15"/>
    <mergeCell ref="A16:F16"/>
    <mergeCell ref="E17:F17"/>
    <mergeCell ref="A23:F23"/>
    <mergeCell ref="E24:F24"/>
    <mergeCell ref="A26:F26"/>
    <mergeCell ref="E27:F27"/>
    <mergeCell ref="A29:F29"/>
    <mergeCell ref="E30:F30"/>
    <mergeCell ref="A35:F35"/>
    <mergeCell ref="E36:F36"/>
    <mergeCell ref="A39:F39"/>
    <mergeCell ref="A41:F41"/>
    <mergeCell ref="A42:F42"/>
    <mergeCell ref="E43:F43"/>
    <mergeCell ref="A57:F57"/>
    <mergeCell ref="E58:F58"/>
    <mergeCell ref="A60:F60"/>
    <mergeCell ref="E61:F61"/>
    <mergeCell ref="A75:F75"/>
    <mergeCell ref="E76:F76"/>
    <mergeCell ref="E78:F78"/>
    <mergeCell ref="E80:F80"/>
  </mergeCells>
  <printOptions horizontalCentered="1"/>
  <pageMargins left="0.2362204724409449" right="0.31496062992125984" top="0.25" bottom="0.36" header="0.1968503937007874" footer="0.15748031496062992"/>
  <pageSetup fitToHeight="3" fitToWidth="1" horizontalDpi="600" verticalDpi="600" orientation="landscape" paperSize="9" scale="82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I9" sqref="I9"/>
    </sheetView>
  </sheetViews>
  <sheetFormatPr defaultColWidth="8.88671875" defaultRowHeight="18.75"/>
  <cols>
    <col min="1" max="1" width="53.4453125" style="13" customWidth="1"/>
    <col min="2" max="2" width="12.10546875" style="13" hidden="1" customWidth="1"/>
    <col min="3" max="3" width="7.5546875" style="13" hidden="1" customWidth="1"/>
    <col min="4" max="4" width="7.21484375" style="13" hidden="1" customWidth="1"/>
    <col min="5" max="6" width="6.4453125" style="13" hidden="1" customWidth="1"/>
    <col min="7" max="7" width="9.5546875" style="22" hidden="1" customWidth="1"/>
    <col min="8" max="8" width="10.3359375" style="13" hidden="1" customWidth="1"/>
    <col min="9" max="9" width="12.77734375" style="13" customWidth="1"/>
    <col min="10" max="11" width="8.10546875" style="13" hidden="1" customWidth="1"/>
    <col min="12" max="12" width="7.88671875" style="13" hidden="1" customWidth="1"/>
    <col min="13" max="13" width="8.99609375" style="13" hidden="1" customWidth="1"/>
    <col min="14" max="17" width="8.99609375" style="13" bestFit="1" customWidth="1"/>
    <col min="18" max="18" width="8.6640625" style="13" customWidth="1"/>
    <col min="19" max="16384" width="8.88671875" style="13" customWidth="1"/>
  </cols>
  <sheetData>
    <row r="1" ht="15.75">
      <c r="K1" s="174"/>
    </row>
    <row r="2" spans="1:12" ht="15.75" customHeight="1">
      <c r="A2" s="356" t="s">
        <v>154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5.75" customHeight="1">
      <c r="A3" s="292" t="s">
        <v>222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5.7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ht="15.75">
      <c r="K5" s="174"/>
    </row>
    <row r="6" spans="1:11" ht="15.75">
      <c r="A6" s="22" t="s">
        <v>153</v>
      </c>
      <c r="K6" s="174"/>
    </row>
    <row r="7" spans="1:11" ht="16.5" thickBot="1">
      <c r="A7" s="22"/>
      <c r="K7" s="174"/>
    </row>
    <row r="8" spans="1:11" ht="15.75">
      <c r="A8" s="350" t="s">
        <v>2</v>
      </c>
      <c r="B8" s="351"/>
      <c r="C8" s="351"/>
      <c r="D8" s="351"/>
      <c r="E8" s="351"/>
      <c r="F8" s="351"/>
      <c r="G8" s="352"/>
      <c r="H8" s="351"/>
      <c r="I8" s="290" t="s">
        <v>155</v>
      </c>
      <c r="J8" s="291">
        <v>2013</v>
      </c>
      <c r="K8" s="174"/>
    </row>
    <row r="9" spans="1:11" ht="15.75">
      <c r="A9" s="353" t="s">
        <v>106</v>
      </c>
      <c r="B9" s="77" t="s">
        <v>107</v>
      </c>
      <c r="C9" s="77">
        <v>2010</v>
      </c>
      <c r="D9" s="77">
        <v>2012</v>
      </c>
      <c r="E9" s="77">
        <v>801</v>
      </c>
      <c r="F9" s="77">
        <v>80195</v>
      </c>
      <c r="G9" s="127">
        <f>SUM(H31:N31)</f>
        <v>0</v>
      </c>
      <c r="H9" s="128">
        <f>252292+607570</f>
        <v>859862</v>
      </c>
      <c r="I9" s="128">
        <v>342984</v>
      </c>
      <c r="J9" s="340"/>
      <c r="K9" s="174"/>
    </row>
    <row r="10" spans="1:11" ht="25.5">
      <c r="A10" s="353" t="s">
        <v>159</v>
      </c>
      <c r="B10" s="77" t="s">
        <v>107</v>
      </c>
      <c r="C10" s="77">
        <v>2011</v>
      </c>
      <c r="D10" s="77">
        <v>2012</v>
      </c>
      <c r="E10" s="77">
        <v>801</v>
      </c>
      <c r="F10" s="77">
        <v>80195</v>
      </c>
      <c r="G10" s="127">
        <v>293450</v>
      </c>
      <c r="H10" s="128">
        <v>211980</v>
      </c>
      <c r="I10" s="128">
        <v>84000</v>
      </c>
      <c r="J10" s="340"/>
      <c r="K10" s="174"/>
    </row>
    <row r="11" spans="1:11" ht="15.75">
      <c r="A11" s="353" t="s">
        <v>218</v>
      </c>
      <c r="B11" s="77"/>
      <c r="C11" s="77"/>
      <c r="D11" s="77"/>
      <c r="E11" s="77"/>
      <c r="F11" s="77"/>
      <c r="G11" s="127"/>
      <c r="H11" s="128"/>
      <c r="I11" s="128">
        <v>103926</v>
      </c>
      <c r="J11" s="340"/>
      <c r="K11" s="174"/>
    </row>
    <row r="12" spans="1:11" ht="15.75">
      <c r="A12" s="353" t="s">
        <v>219</v>
      </c>
      <c r="B12" s="77"/>
      <c r="C12" s="77"/>
      <c r="D12" s="77"/>
      <c r="E12" s="77"/>
      <c r="F12" s="77"/>
      <c r="G12" s="127"/>
      <c r="H12" s="128"/>
      <c r="I12" s="128">
        <v>123744</v>
      </c>
      <c r="J12" s="340"/>
      <c r="K12" s="174"/>
    </row>
    <row r="13" spans="1:11" ht="15.75">
      <c r="A13" s="353" t="s">
        <v>220</v>
      </c>
      <c r="B13" s="77"/>
      <c r="C13" s="77"/>
      <c r="D13" s="77"/>
      <c r="E13" s="77"/>
      <c r="F13" s="77"/>
      <c r="G13" s="127"/>
      <c r="H13" s="128"/>
      <c r="I13" s="128">
        <v>20000</v>
      </c>
      <c r="J13" s="340"/>
      <c r="K13" s="174"/>
    </row>
    <row r="14" spans="1:11" ht="16.5" thickBot="1">
      <c r="A14" s="354" t="s">
        <v>217</v>
      </c>
      <c r="B14" s="355"/>
      <c r="C14" s="355"/>
      <c r="D14" s="355"/>
      <c r="E14" s="355"/>
      <c r="F14" s="355"/>
      <c r="G14" s="341"/>
      <c r="H14" s="341"/>
      <c r="I14" s="341">
        <f>SUM(I9:I13)</f>
        <v>674654</v>
      </c>
      <c r="J14" s="342"/>
      <c r="K14" s="174"/>
    </row>
    <row r="15" spans="1:13" ht="12.75">
      <c r="A15" s="317"/>
      <c r="B15" s="318"/>
      <c r="C15" s="318"/>
      <c r="D15" s="318"/>
      <c r="E15" s="318"/>
      <c r="F15" s="318"/>
      <c r="G15" s="319"/>
      <c r="H15" s="318"/>
      <c r="I15" s="318"/>
      <c r="J15" s="318"/>
      <c r="K15" s="318"/>
      <c r="L15" s="318"/>
      <c r="M15" s="318"/>
    </row>
    <row r="16" spans="1:13" ht="12.75">
      <c r="A16" s="321" t="s">
        <v>216</v>
      </c>
      <c r="B16" s="432" t="s">
        <v>86</v>
      </c>
      <c r="C16" s="432" t="s">
        <v>87</v>
      </c>
      <c r="D16" s="432"/>
      <c r="E16" s="432" t="s">
        <v>88</v>
      </c>
      <c r="F16" s="432"/>
      <c r="G16" s="432" t="s">
        <v>89</v>
      </c>
      <c r="H16" s="432" t="s">
        <v>90</v>
      </c>
      <c r="I16" s="432"/>
      <c r="J16" s="432"/>
      <c r="K16" s="432"/>
      <c r="L16" s="432"/>
      <c r="M16" s="432"/>
    </row>
    <row r="17" spans="2:13" ht="13.5" thickBot="1">
      <c r="B17" s="432"/>
      <c r="C17" s="432" t="s">
        <v>95</v>
      </c>
      <c r="D17" s="432"/>
      <c r="E17" s="432"/>
      <c r="F17" s="432"/>
      <c r="G17" s="432"/>
      <c r="H17" s="432"/>
      <c r="I17" s="321"/>
      <c r="J17" s="321"/>
      <c r="K17" s="321"/>
      <c r="L17" s="321"/>
      <c r="M17" s="321"/>
    </row>
    <row r="18" spans="1:13" ht="12.75">
      <c r="A18" s="339" t="s">
        <v>2</v>
      </c>
      <c r="B18" s="290"/>
      <c r="C18" s="290" t="s">
        <v>96</v>
      </c>
      <c r="D18" s="290" t="s">
        <v>97</v>
      </c>
      <c r="E18" s="290" t="s">
        <v>98</v>
      </c>
      <c r="F18" s="290" t="s">
        <v>99</v>
      </c>
      <c r="G18" s="290"/>
      <c r="H18" s="290"/>
      <c r="I18" s="291" t="s">
        <v>155</v>
      </c>
      <c r="J18" s="238">
        <v>2013</v>
      </c>
      <c r="K18" s="290">
        <v>2014</v>
      </c>
      <c r="L18" s="291">
        <v>2015</v>
      </c>
      <c r="M18" s="344">
        <v>2016</v>
      </c>
    </row>
    <row r="19" spans="1:13" ht="12.75">
      <c r="A19" s="329" t="s">
        <v>118</v>
      </c>
      <c r="B19" s="77" t="s">
        <v>107</v>
      </c>
      <c r="C19" s="77">
        <v>2008</v>
      </c>
      <c r="D19" s="77">
        <v>2015</v>
      </c>
      <c r="E19" s="424" t="s">
        <v>109</v>
      </c>
      <c r="F19" s="424"/>
      <c r="G19" s="127">
        <f>SUM(G20:G27)</f>
        <v>7246408</v>
      </c>
      <c r="H19" s="127">
        <f>SUM(H20:H27)</f>
        <v>5246408</v>
      </c>
      <c r="I19" s="330"/>
      <c r="J19" s="320"/>
      <c r="K19" s="320"/>
      <c r="L19" s="330"/>
      <c r="M19" s="330"/>
    </row>
    <row r="20" spans="1:13" ht="25.5">
      <c r="A20" s="331" t="s">
        <v>120</v>
      </c>
      <c r="B20" s="77" t="s">
        <v>107</v>
      </c>
      <c r="C20" s="77">
        <v>2009</v>
      </c>
      <c r="D20" s="77">
        <v>2012</v>
      </c>
      <c r="E20" s="77">
        <v>700</v>
      </c>
      <c r="F20" s="77">
        <v>70095</v>
      </c>
      <c r="G20" s="315">
        <f>SUM(H20:M20)</f>
        <v>1868686</v>
      </c>
      <c r="H20" s="218">
        <f>248686+1350000</f>
        <v>1598686</v>
      </c>
      <c r="I20" s="360">
        <v>270000</v>
      </c>
      <c r="J20" s="357"/>
      <c r="K20" s="128"/>
      <c r="L20" s="332"/>
      <c r="M20" s="333"/>
    </row>
    <row r="21" spans="1:13" ht="38.25">
      <c r="A21" s="331" t="s">
        <v>121</v>
      </c>
      <c r="B21" s="77" t="s">
        <v>107</v>
      </c>
      <c r="C21" s="77">
        <v>2009</v>
      </c>
      <c r="D21" s="77">
        <v>2012</v>
      </c>
      <c r="E21" s="77">
        <v>700</v>
      </c>
      <c r="F21" s="77">
        <v>70095</v>
      </c>
      <c r="G21" s="315">
        <f>SUM(H21:M21)</f>
        <v>1258257</v>
      </c>
      <c r="H21" s="218">
        <f>228257+450000</f>
        <v>678257</v>
      </c>
      <c r="I21" s="360">
        <v>580000</v>
      </c>
      <c r="J21" s="357"/>
      <c r="K21" s="128"/>
      <c r="L21" s="332"/>
      <c r="M21" s="333"/>
    </row>
    <row r="22" spans="1:13" ht="12.75">
      <c r="A22" s="331" t="s">
        <v>122</v>
      </c>
      <c r="B22" s="77" t="s">
        <v>107</v>
      </c>
      <c r="C22" s="77">
        <v>2009</v>
      </c>
      <c r="D22" s="77">
        <v>2012</v>
      </c>
      <c r="E22" s="77">
        <v>700</v>
      </c>
      <c r="F22" s="77">
        <v>70095</v>
      </c>
      <c r="G22" s="315">
        <f>SUM(H22:M22)</f>
        <v>535380</v>
      </c>
      <c r="H22" s="218">
        <v>35380</v>
      </c>
      <c r="I22" s="360">
        <v>500000</v>
      </c>
      <c r="J22" s="357"/>
      <c r="K22" s="128"/>
      <c r="L22" s="332"/>
      <c r="M22" s="333"/>
    </row>
    <row r="23" spans="1:13" ht="25.5">
      <c r="A23" s="331" t="s">
        <v>124</v>
      </c>
      <c r="B23" s="77" t="s">
        <v>107</v>
      </c>
      <c r="C23" s="77">
        <v>2009</v>
      </c>
      <c r="D23" s="77">
        <v>2011</v>
      </c>
      <c r="E23" s="77">
        <v>600</v>
      </c>
      <c r="F23" s="77">
        <v>60016</v>
      </c>
      <c r="G23" s="315">
        <f>SUM(H23:M23)</f>
        <v>1126115</v>
      </c>
      <c r="H23" s="218">
        <f>526115+400000</f>
        <v>926115</v>
      </c>
      <c r="I23" s="360">
        <v>200000</v>
      </c>
      <c r="J23" s="357"/>
      <c r="K23" s="128"/>
      <c r="L23" s="332"/>
      <c r="M23" s="333"/>
    </row>
    <row r="24" spans="1:13" ht="25.5">
      <c r="A24" s="331" t="s">
        <v>128</v>
      </c>
      <c r="B24" s="77" t="s">
        <v>107</v>
      </c>
      <c r="C24" s="77">
        <v>2010</v>
      </c>
      <c r="D24" s="77">
        <v>2012</v>
      </c>
      <c r="E24" s="77">
        <v>600</v>
      </c>
      <c r="F24" s="77">
        <v>60016</v>
      </c>
      <c r="G24" s="315">
        <f>SUM(H24:M24)</f>
        <v>2057970</v>
      </c>
      <c r="H24" s="218">
        <f>77970+1580000</f>
        <v>1657970</v>
      </c>
      <c r="I24" s="360">
        <v>400000</v>
      </c>
      <c r="J24" s="357"/>
      <c r="K24" s="128"/>
      <c r="L24" s="332"/>
      <c r="M24" s="333"/>
    </row>
    <row r="25" spans="1:13" ht="12.75">
      <c r="A25" s="329" t="s">
        <v>215</v>
      </c>
      <c r="B25" s="130"/>
      <c r="C25" s="130"/>
      <c r="D25" s="130"/>
      <c r="E25" s="136"/>
      <c r="F25" s="137"/>
      <c r="G25" s="315"/>
      <c r="H25" s="218"/>
      <c r="I25" s="360"/>
      <c r="J25" s="327"/>
      <c r="K25" s="328"/>
      <c r="L25" s="333"/>
      <c r="M25" s="333"/>
    </row>
    <row r="26" spans="1:13" ht="12.75">
      <c r="A26" s="331" t="s">
        <v>212</v>
      </c>
      <c r="B26" s="130" t="s">
        <v>107</v>
      </c>
      <c r="C26" s="130">
        <v>2012</v>
      </c>
      <c r="D26" s="130">
        <v>2013</v>
      </c>
      <c r="E26" s="130"/>
      <c r="F26" s="130"/>
      <c r="G26" s="315"/>
      <c r="H26" s="218">
        <f>SUM(I26:M26)</f>
        <v>350000</v>
      </c>
      <c r="I26" s="360">
        <v>150000</v>
      </c>
      <c r="J26" s="357">
        <v>200000</v>
      </c>
      <c r="K26" s="128"/>
      <c r="L26" s="332"/>
      <c r="M26" s="333"/>
    </row>
    <row r="27" spans="1:13" ht="13.5" thickBot="1">
      <c r="A27" s="343" t="s">
        <v>214</v>
      </c>
      <c r="B27" s="334" t="s">
        <v>107</v>
      </c>
      <c r="C27" s="334">
        <v>2012</v>
      </c>
      <c r="D27" s="334">
        <v>2013</v>
      </c>
      <c r="E27" s="334">
        <v>700</v>
      </c>
      <c r="F27" s="334">
        <v>70095</v>
      </c>
      <c r="G27" s="335">
        <v>400000</v>
      </c>
      <c r="H27" s="336"/>
      <c r="I27" s="360">
        <v>100000</v>
      </c>
      <c r="J27" s="358">
        <v>300000</v>
      </c>
      <c r="K27" s="337"/>
      <c r="L27" s="338"/>
      <c r="M27" s="333"/>
    </row>
    <row r="28" spans="1:13" ht="13.5" thickBot="1">
      <c r="A28" s="345" t="s">
        <v>217</v>
      </c>
      <c r="B28" s="346"/>
      <c r="C28" s="346"/>
      <c r="D28" s="346"/>
      <c r="E28" s="346"/>
      <c r="F28" s="346"/>
      <c r="G28" s="347"/>
      <c r="H28" s="346"/>
      <c r="I28" s="361">
        <f>SUM(I20:I27)</f>
        <v>2200000</v>
      </c>
      <c r="J28" s="359">
        <f>SUM(J20:J27)</f>
        <v>500000</v>
      </c>
      <c r="K28" s="341">
        <f>SUM(K20:K27)</f>
        <v>0</v>
      </c>
      <c r="L28" s="348">
        <f>SUM(L20:L27)</f>
        <v>0</v>
      </c>
      <c r="M28" s="349">
        <f>SUM(M20:M27)</f>
        <v>0</v>
      </c>
    </row>
    <row r="31" ht="12.75">
      <c r="G31" s="13"/>
    </row>
    <row r="32" ht="12.75">
      <c r="G32" s="13"/>
    </row>
  </sheetData>
  <mergeCells count="8">
    <mergeCell ref="B16:B17"/>
    <mergeCell ref="C16:D16"/>
    <mergeCell ref="E19:F19"/>
    <mergeCell ref="I16:M16"/>
    <mergeCell ref="E16:F17"/>
    <mergeCell ref="C17:D17"/>
    <mergeCell ref="G16:G17"/>
    <mergeCell ref="H16:H17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StanisK</dc:creator>
  <cp:keywords/>
  <dc:description/>
  <cp:lastModifiedBy>MariaT</cp:lastModifiedBy>
  <cp:lastPrinted>2011-12-27T06:39:45Z</cp:lastPrinted>
  <dcterms:created xsi:type="dcterms:W3CDTF">2010-03-23T09:23:41Z</dcterms:created>
  <dcterms:modified xsi:type="dcterms:W3CDTF">2011-12-27T06:57:19Z</dcterms:modified>
  <cp:category/>
  <cp:version/>
  <cp:contentType/>
  <cp:contentStatus/>
</cp:coreProperties>
</file>