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Prognoza" sheetId="1" r:id="rId1"/>
    <sheet name="wykaz przedsięwzięć" sheetId="2" r:id="rId2"/>
    <sheet name="wykaz zadań" sheetId="3" r:id="rId3"/>
  </sheets>
  <definedNames>
    <definedName name="_xlnm.Print_Area" localSheetId="0">'Prognoza'!$A$1:$P$88</definedName>
    <definedName name="_xlnm.Print_Area" localSheetId="1">'wykaz przedsięwzięć'!$A$1:$O$75</definedName>
    <definedName name="_xlnm.Print_Area" localSheetId="2">'wykaz zadań'!$A$2:$M$44</definedName>
    <definedName name="_xlnm.Print_Titles" localSheetId="0">'Prognoza'!$6:$7</definedName>
    <definedName name="_xlnm.Print_Titles" localSheetId="1">'wykaz przedsięwzięć'!$6:$9</definedName>
  </definedNames>
  <calcPr fullCalcOnLoad="1"/>
</workbook>
</file>

<file path=xl/sharedStrings.xml><?xml version="1.0" encoding="utf-8"?>
<sst xmlns="http://schemas.openxmlformats.org/spreadsheetml/2006/main" count="318" uniqueCount="206">
  <si>
    <t>w złotych</t>
  </si>
  <si>
    <t>Lp.</t>
  </si>
  <si>
    <t>Wyszczególnienie</t>
  </si>
  <si>
    <t>Kwota długu na dzień 31.12.2007</t>
  </si>
  <si>
    <t>Prognoza</t>
  </si>
  <si>
    <t>pożyczek</t>
  </si>
  <si>
    <t>obligacji</t>
  </si>
  <si>
    <t>obligacje</t>
  </si>
  <si>
    <t>bgk</t>
  </si>
  <si>
    <t>boś</t>
  </si>
  <si>
    <t>boś -5mln</t>
  </si>
  <si>
    <t>Kredyt planowany 2010</t>
  </si>
  <si>
    <t>wfos etap 4-5</t>
  </si>
  <si>
    <t>wfos</t>
  </si>
  <si>
    <t xml:space="preserve">odsetki od emisji oblig. komunalnych </t>
  </si>
  <si>
    <t>odsetki strefa</t>
  </si>
  <si>
    <t>kredyt krótkoterminowy</t>
  </si>
  <si>
    <t>Zaciągnięte zobowiązania z tytułu:</t>
  </si>
  <si>
    <t>majątkowe w tym:</t>
  </si>
  <si>
    <t>- ze sprzedaży majątku</t>
  </si>
  <si>
    <t>Kredyt planowany 2011</t>
  </si>
  <si>
    <t>Kredyt planowany 2012</t>
  </si>
  <si>
    <t>Kredyt planowany 2013</t>
  </si>
  <si>
    <t>Wykonanie</t>
  </si>
  <si>
    <t>- własne</t>
  </si>
  <si>
    <t>- subwencje</t>
  </si>
  <si>
    <t>dochody</t>
  </si>
  <si>
    <t>dochody saldo</t>
  </si>
  <si>
    <t xml:space="preserve">wydatki </t>
  </si>
  <si>
    <t>wydatki saldo</t>
  </si>
  <si>
    <t>X</t>
  </si>
  <si>
    <t>- pozostałe dotacje</t>
  </si>
  <si>
    <t>- dotacje i środki na realizację przedsięwzięć WPF</t>
  </si>
  <si>
    <t>w tym zaciągnięte na wyprzedzające finansowanie ze środków UE</t>
  </si>
  <si>
    <t>Dochody ogółem, z tego:</t>
  </si>
  <si>
    <t>a</t>
  </si>
  <si>
    <t>b</t>
  </si>
  <si>
    <t>20.</t>
  </si>
  <si>
    <t>Wydatki ogółem (10 + 19)</t>
  </si>
  <si>
    <t>Wydatki bieżące,  w tym:</t>
  </si>
  <si>
    <t>nadwyżka budżetowa z lat ubiegłych plus wolne środki, zgodnie z art. 217 ufp, angażowane na pokrycie deficytu budżetu roku bieżącego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</si>
  <si>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</si>
  <si>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</si>
  <si>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</si>
  <si>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</si>
  <si>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wydatki bieżące na obsługę długu (odsetki)</t>
  </si>
  <si>
    <t xml:space="preserve">- spłata kredytów i pożyczek </t>
  </si>
  <si>
    <t>- wykup papierów wartościowych</t>
  </si>
  <si>
    <t>- spłata udzielonych poręczeń</t>
  </si>
  <si>
    <t>Inne rozchody (bez spłaty długu np. udzielane pożyczki)</t>
  </si>
  <si>
    <t>Środki do dyspozycji na wydatki majątkowe (6-7-8)</t>
  </si>
  <si>
    <t>wydatki inwestycyjne wynikające z limitów wydatków na przedsięwzięcia (załącznik WPF)</t>
  </si>
  <si>
    <t>pozostałe wydatki majątkowe</t>
  </si>
  <si>
    <t>Wydatki majątkowe, w tym:</t>
  </si>
  <si>
    <t>11.</t>
  </si>
  <si>
    <t>c</t>
  </si>
  <si>
    <t>kredyty</t>
  </si>
  <si>
    <t>Przychody (kredyty, pożyczki, emisje obligacji):</t>
  </si>
  <si>
    <t>Kwota długu, w tym:</t>
  </si>
  <si>
    <t>kredytów w tym:</t>
  </si>
  <si>
    <t>- łączna kwota wyłączeń z art. 243 ust. 3 pkt 1 ufp oraz z art. 170 ust. 3 sufp</t>
  </si>
  <si>
    <t>- 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</si>
  <si>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</si>
  <si>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Maksymalny dopuszczalny wskaźnik spłaty z art. 243 ufp</t>
  </si>
  <si>
    <t>17.</t>
  </si>
  <si>
    <t>18.</t>
  </si>
  <si>
    <t>Zadłużenie/dochody ogółem (13 –13a):1) - max 60% z art. 170 sufp</t>
  </si>
  <si>
    <t>Wydatki bieżące razem (2 + 7b)</t>
  </si>
  <si>
    <t>19.</t>
  </si>
  <si>
    <t>23.</t>
  </si>
  <si>
    <t>21.</t>
  </si>
  <si>
    <t>Wynik budżetu (1 - 20)</t>
  </si>
  <si>
    <t>22.</t>
  </si>
  <si>
    <t>1a</t>
  </si>
  <si>
    <t>1b</t>
  </si>
  <si>
    <t>1c</t>
  </si>
  <si>
    <t xml:space="preserve"> - wynagrodzenia i składniki od nich naliczane</t>
  </si>
  <si>
    <t>2a</t>
  </si>
  <si>
    <t>2b</t>
  </si>
  <si>
    <t xml:space="preserve"> - związane z funkcjonowaniem JST</t>
  </si>
  <si>
    <t>2c</t>
  </si>
  <si>
    <t>z tytułu gwarancji i poręczeń, w tym:</t>
  </si>
  <si>
    <t>2d</t>
  </si>
  <si>
    <t>gwarancje i poręczenia podlegające wyłączeniu z limitów spłaty zobowiązań z art. 243 ufp/169sufp</t>
  </si>
  <si>
    <t>wydatki bieżące objęte limitem art. 226 ust. 4 ufp</t>
  </si>
  <si>
    <t>2e</t>
  </si>
  <si>
    <t>Różnica (1 - 2)</t>
  </si>
  <si>
    <t>4a</t>
  </si>
  <si>
    <t>7a</t>
  </si>
  <si>
    <t>7b</t>
  </si>
  <si>
    <t>rozchody z tytułu spłaty rat kapitałowych oraz wykupu papierów wartościowych</t>
  </si>
  <si>
    <t>7a1</t>
  </si>
  <si>
    <t>7a2</t>
  </si>
  <si>
    <t>7a3</t>
  </si>
  <si>
    <t>Rozliczenie budżetu (9-10+11)</t>
  </si>
  <si>
    <t>10a</t>
  </si>
  <si>
    <t>10b</t>
  </si>
  <si>
    <t>13a</t>
  </si>
  <si>
    <t>13b</t>
  </si>
  <si>
    <t>Planowana łączna kwota spłaty zobowiązań ((7+2c)/1)</t>
  </si>
  <si>
    <t>Przychody budżetu  (4+5+11)</t>
  </si>
  <si>
    <t>Rozchody budżetu  (7a + 8)</t>
  </si>
  <si>
    <t>Przewidywane wykonanie</t>
  </si>
  <si>
    <t>Wykonanie 
3 kwartały</t>
  </si>
  <si>
    <t>Planowana łączna kwota spłaty zobowiązań /dochody ogółem -max 15% z art. 169 sufp ((7a+2c+7b-2d-13b)/1)</t>
  </si>
  <si>
    <t>Spełnienie wskaźnika spłaty z art. 243 ufp po uwzględnieniu art. 244 ufp ((7+2c+14)/1&lt;=15a)</t>
  </si>
  <si>
    <t>Nazwa i cel</t>
  </si>
  <si>
    <t>Jednostka odpowiedzialna</t>
  </si>
  <si>
    <t>Okres realizacji</t>
  </si>
  <si>
    <t>Klasyfikacja budżetowa</t>
  </si>
  <si>
    <t>Łączne nakłady finansowe</t>
  </si>
  <si>
    <t>Wydatki poniesione w latach poprzednich</t>
  </si>
  <si>
    <t>Limity wydatków w poszczególnych latach (wszystkie lata)</t>
  </si>
  <si>
    <t>Limit zobowiązań</t>
  </si>
  <si>
    <t>Przewidywane dofinansowanie do zadania/programu</t>
  </si>
  <si>
    <t>Razem dofinans.</t>
  </si>
  <si>
    <t>(w wierszu program/umowa)</t>
  </si>
  <si>
    <t>Od</t>
  </si>
  <si>
    <t>Do</t>
  </si>
  <si>
    <t>Dział</t>
  </si>
  <si>
    <t>Rozdz.</t>
  </si>
  <si>
    <t>…</t>
  </si>
  <si>
    <t>Przedsięwzięcia ogółem</t>
  </si>
  <si>
    <t>– wydatki bieżące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</si>
  <si>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</si>
  <si>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</si>
  <si>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</si>
  <si>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>Szkoła przyjazna uczniom</t>
  </si>
  <si>
    <t>UMiG</t>
  </si>
  <si>
    <t>b) programy, projekty lub zadania związane z umowami partnerstwa publiczno-prywatnego (razem)</t>
  </si>
  <si>
    <t>x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</si>
  <si>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</si>
  <si>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</si>
  <si>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</si>
  <si>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 xml:space="preserve">Komunikacja Miejska </t>
  </si>
  <si>
    <t>Dowożenie uczniów do szkół</t>
  </si>
  <si>
    <t>3) gwarancje i poręczenia udzielane przez jednostki samorządu terytorialnego (razem)</t>
  </si>
  <si>
    <t xml:space="preserve"> - wydatki majątkowe</t>
  </si>
  <si>
    <t>a) programy, projekty lub zadania związane z programami realizowanymi z udziałem środków, o których mowa w art. 5 ust. 1 pkt 2 i 3 (razem)</t>
  </si>
  <si>
    <t>Lokalny Program Rewitalizacji na lata 2008-2015</t>
  </si>
  <si>
    <t>Modernizacja budynku przy ul.Techników 12 oraz zakup wyposażenia do świetlicy OPTY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</si>
  <si>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</si>
  <si>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</si>
  <si>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Wdrożenie systemu monitoringu na obszarze wsparcia </t>
  </si>
  <si>
    <t xml:space="preserve">Modernizacja oświetlenia na obszarze wsparcia </t>
  </si>
  <si>
    <t xml:space="preserve">Modernizacja drobnej infrastruktury przestrzeni publicznej  w zakresie  chodników,parkingów i zieleni miejskiej na obszarze wsparcia </t>
  </si>
  <si>
    <t xml:space="preserve">Przebudowa i Rozbudowa budynku remizy z przeznaczeniem części pomieszczeń na świetlicę wiejską w Wójcicach </t>
  </si>
  <si>
    <t>Budowa kanalizacji sanitarnej w Chwałowicach i Dębinie etap 4-5</t>
  </si>
  <si>
    <t>Budowa publicznej sieci szerokopasmowej na terenie gminy Jelcz-Laskowice (planowane środki unijne)</t>
  </si>
  <si>
    <t>Zagospodarowanie placu w centrum Miłoszycwraz z przebudową ciągu pieszo-jezdnego (ul. Kościelna) (planowane środki unijne)</t>
  </si>
  <si>
    <t>c) programy, projekty lub zadania pozostałe (inne niż wymienione w lit. a i b (razem)</t>
  </si>
  <si>
    <t xml:space="preserve">Wieloletni Program Inwestycyjny </t>
  </si>
  <si>
    <t>Przebudowa ulic: Polnej, Wąskopolnej, Sadowej w Jelczu-Laskowicach (projekt)</t>
  </si>
  <si>
    <t>Przebudowa dróg na Osiedlu Domków Jednorodzinnych w Jelczu-Laskowicach - etap I (ul. Frezjowa)</t>
  </si>
  <si>
    <t>Przebudowa ul. Bożka w Jelczu-Laskowicach - etap II</t>
  </si>
  <si>
    <t>Przebudowa ul.Bożka w Jelczu-Laskowicach - etap III (projekt)</t>
  </si>
  <si>
    <t xml:space="preserve">Przebudowa drogi gminnej - ul. Bolesława Prusa w Jelczu-Laskowicach </t>
  </si>
  <si>
    <t>Zagospodarowanie terenu rekreacyjnego z placem zabaw na Placu Wrzosowym w Jelczu-Laskowicach</t>
  </si>
  <si>
    <t>Budowa kanalizacji sanitarnej w Kopalinie</t>
  </si>
  <si>
    <t>Budowa kanalizacji sanitarnej w Minkowicach Oławskich</t>
  </si>
  <si>
    <t>Zagospdarowanie terenu ośrodka wypoczynkowego nad stawem w Jelczu-Laskowicach</t>
  </si>
  <si>
    <t>Budowa budynku socjalnego</t>
  </si>
  <si>
    <t xml:space="preserve">Budowa Centrum Sportu i Rekreacji przy ul. Oławskiej w Jelczu-Laskowicach </t>
  </si>
  <si>
    <t>Utworzenie Społecznego Konserwatorium Edukacji Ekologicznej w Chwałowicach (NFOŚiGW - środki krajowe)</t>
  </si>
  <si>
    <t>Infrastruktura drogowa - WSSE strefa ekonomiczna</t>
  </si>
  <si>
    <t>umowa 2 ogółem</t>
  </si>
  <si>
    <t>umowa 3 ogółem</t>
  </si>
  <si>
    <t>w tym:</t>
  </si>
  <si>
    <t>bieżące</t>
  </si>
  <si>
    <t>Planowana łączna kwota spłaty zobowiązań po uwzględnieniu art. 244 ((7+2c+14)/1)</t>
  </si>
  <si>
    <t>Relacja (Db-Wb+Dsm)/Do, o której mowa w art. 243 w danym roku (1a-19+1c)/1)</t>
  </si>
  <si>
    <t>Kredyt PKO SA</t>
  </si>
  <si>
    <t>pożyczki WFOŚ</t>
  </si>
  <si>
    <t>wfos etap 1-3</t>
  </si>
  <si>
    <t>załącznik nr 1</t>
  </si>
  <si>
    <t>Rady Miejskiej w Jelczu-Laskowicach</t>
  </si>
  <si>
    <t>Wykaz przedsięwzięć do WPF na lata 2011–2016</t>
  </si>
  <si>
    <t>załącznik nr 2</t>
  </si>
  <si>
    <t>Wieloletnia prognoza finansowa wraz z prognozą kwoty długu i spłat zobowiązań na lata 2011-2019</t>
  </si>
  <si>
    <t>Zadanie</t>
  </si>
  <si>
    <t>Zadania ogółem</t>
  </si>
  <si>
    <t>Rok realizacji</t>
  </si>
  <si>
    <t>Zadania bieżące</t>
  </si>
  <si>
    <t>Zadania Majątkowe</t>
  </si>
  <si>
    <t xml:space="preserve">Rok </t>
  </si>
  <si>
    <t>Wykaz planowanych zadań przy udziale środków UE</t>
  </si>
  <si>
    <t>Remonty w obiektach oświatowych</t>
  </si>
  <si>
    <t>Podział środków na poszczególne szkoły przedstawia się następująco:</t>
  </si>
  <si>
    <t>Szkoła Podstawowa Nr 2</t>
  </si>
  <si>
    <t>Kwota</t>
  </si>
  <si>
    <t>Szkoła Podstawowa Nr 3</t>
  </si>
  <si>
    <t>Szkoła Podstawowa w Miłoszycach</t>
  </si>
  <si>
    <t>Szkoła Podstawowa w Wójcicach</t>
  </si>
  <si>
    <t>Gimnazjum Nr 1</t>
  </si>
  <si>
    <t>Gimnazjum Nr 2</t>
  </si>
  <si>
    <t>Zespół Szkół w Minkowicach</t>
  </si>
  <si>
    <t>Zespół Ekonomiczno-Administracyjny Szkół</t>
  </si>
  <si>
    <t>W projekcie budżetu na 2011 rok przewidziano wydatki na remonty związane z usuwaniem awarii.</t>
  </si>
  <si>
    <t>Planowane współfinansowane</t>
  </si>
  <si>
    <t>Razem dofinansowanie</t>
  </si>
  <si>
    <t>Zagospodarowanie placu w centrum Miłoszyc wraz z przebudową ciągu pieszo-jezdnego (ul. Kościelna) (planowane środki unijne)</t>
  </si>
  <si>
    <t>Modernizacja budynku przy ul. Techników 12 oraz zakup wyposażenia do świetlicy OPTY</t>
  </si>
  <si>
    <t>Nr VII/36/2011</t>
  </si>
  <si>
    <t>do Uchwały Nr VII/36/2011</t>
  </si>
  <si>
    <t>z dnia 25 lutego 2011r.</t>
  </si>
  <si>
    <t>z dnia 25 lutego 2011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</si>
</sst>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#,##0.0"/>
    <numFmt numFmtId="168" formatCode="#,##0.000"/>
    <numFmt numFmtId="169" formatCode="#,##0_ ;[Red]\-#,##0\ "/>
  </numFmts>
  <fonts count="22">
    <font>
      <sz val="14"/>
      <name val="Times New Roman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imes New Roman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3" fontId="3" fillId="0" borderId="3" xfId="15" applyNumberFormat="1" applyFont="1" applyBorder="1" applyAlignment="1">
      <alignment horizontal="right" vertical="center" wrapText="1"/>
    </xf>
    <xf numFmtId="164" fontId="6" fillId="0" borderId="3" xfId="15" applyNumberFormat="1" applyFont="1" applyBorder="1" applyAlignment="1">
      <alignment horizontal="right" vertical="center" wrapText="1"/>
    </xf>
    <xf numFmtId="3" fontId="6" fillId="0" borderId="3" xfId="15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6" fillId="0" borderId="4" xfId="15" applyNumberFormat="1" applyFont="1" applyBorder="1" applyAlignment="1">
      <alignment horizontal="right" vertical="center" wrapText="1"/>
    </xf>
    <xf numFmtId="3" fontId="6" fillId="0" borderId="4" xfId="15" applyNumberFormat="1" applyFont="1" applyBorder="1" applyAlignment="1">
      <alignment horizontal="right" vertical="center" wrapText="1"/>
    </xf>
    <xf numFmtId="164" fontId="6" fillId="0" borderId="5" xfId="15" applyNumberFormat="1" applyFont="1" applyBorder="1" applyAlignment="1">
      <alignment horizontal="right" vertical="center" wrapText="1"/>
    </xf>
    <xf numFmtId="3" fontId="6" fillId="0" borderId="5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/>
    </xf>
    <xf numFmtId="164" fontId="6" fillId="0" borderId="6" xfId="15" applyNumberFormat="1" applyFont="1" applyBorder="1" applyAlignment="1">
      <alignment horizontal="right" vertical="center" wrapText="1"/>
    </xf>
    <xf numFmtId="3" fontId="6" fillId="0" borderId="6" xfId="15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6" fillId="0" borderId="7" xfId="15" applyNumberFormat="1" applyFont="1" applyBorder="1" applyAlignment="1">
      <alignment horizontal="right" vertical="center" wrapText="1"/>
    </xf>
    <xf numFmtId="3" fontId="6" fillId="0" borderId="8" xfId="1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6" fillId="0" borderId="7" xfId="15" applyNumberFormat="1" applyFont="1" applyBorder="1" applyAlignment="1">
      <alignment horizontal="right" vertical="center" wrapText="1"/>
    </xf>
    <xf numFmtId="164" fontId="8" fillId="0" borderId="3" xfId="15" applyNumberFormat="1" applyFont="1" applyBorder="1" applyAlignment="1">
      <alignment horizontal="right" vertical="center" wrapText="1"/>
    </xf>
    <xf numFmtId="3" fontId="8" fillId="0" borderId="3" xfId="15" applyNumberFormat="1" applyFont="1" applyBorder="1" applyAlignment="1">
      <alignment horizontal="right" vertical="center" wrapText="1"/>
    </xf>
    <xf numFmtId="164" fontId="9" fillId="0" borderId="3" xfId="15" applyNumberFormat="1" applyFont="1" applyBorder="1" applyAlignment="1">
      <alignment horizontal="right" vertical="center" wrapText="1"/>
    </xf>
    <xf numFmtId="3" fontId="9" fillId="0" borderId="3" xfId="15" applyNumberFormat="1" applyFont="1" applyBorder="1" applyAlignment="1">
      <alignment horizontal="right" vertical="center" wrapText="1"/>
    </xf>
    <xf numFmtId="10" fontId="6" fillId="0" borderId="3" xfId="17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3" fontId="3" fillId="0" borderId="10" xfId="15" applyNumberFormat="1" applyFont="1" applyBorder="1" applyAlignment="1">
      <alignment horizontal="right" vertical="center" wrapText="1"/>
    </xf>
    <xf numFmtId="3" fontId="6" fillId="0" borderId="10" xfId="15" applyNumberFormat="1" applyFont="1" applyBorder="1" applyAlignment="1">
      <alignment horizontal="right" vertical="center" wrapText="1"/>
    </xf>
    <xf numFmtId="3" fontId="6" fillId="0" borderId="11" xfId="15" applyNumberFormat="1" applyFont="1" applyBorder="1" applyAlignment="1">
      <alignment horizontal="right" vertical="center" wrapText="1"/>
    </xf>
    <xf numFmtId="3" fontId="6" fillId="0" borderId="12" xfId="15" applyNumberFormat="1" applyFont="1" applyBorder="1" applyAlignment="1">
      <alignment horizontal="right" vertical="center" wrapText="1"/>
    </xf>
    <xf numFmtId="3" fontId="6" fillId="0" borderId="13" xfId="15" applyNumberFormat="1" applyFont="1" applyBorder="1" applyAlignment="1">
      <alignment horizontal="right" vertical="center" wrapText="1"/>
    </xf>
    <xf numFmtId="3" fontId="6" fillId="0" borderId="9" xfId="15" applyNumberFormat="1" applyFont="1" applyBorder="1" applyAlignment="1">
      <alignment horizontal="right" vertical="center" wrapText="1"/>
    </xf>
    <xf numFmtId="3" fontId="8" fillId="0" borderId="10" xfId="15" applyNumberFormat="1" applyFont="1" applyBorder="1" applyAlignment="1">
      <alignment horizontal="right" vertical="center" wrapText="1"/>
    </xf>
    <xf numFmtId="3" fontId="9" fillId="0" borderId="10" xfId="15" applyNumberFormat="1" applyFont="1" applyBorder="1" applyAlignment="1">
      <alignment horizontal="right" vertical="center" wrapText="1"/>
    </xf>
    <xf numFmtId="3" fontId="3" fillId="0" borderId="14" xfId="15" applyNumberFormat="1" applyFont="1" applyBorder="1" applyAlignment="1">
      <alignment horizontal="right" vertical="center" wrapText="1"/>
    </xf>
    <xf numFmtId="3" fontId="6" fillId="0" borderId="14" xfId="15" applyNumberFormat="1" applyFont="1" applyBorder="1" applyAlignment="1">
      <alignment horizontal="right" vertical="center" wrapText="1"/>
    </xf>
    <xf numFmtId="3" fontId="6" fillId="0" borderId="15" xfId="15" applyNumberFormat="1" applyFont="1" applyBorder="1" applyAlignment="1">
      <alignment horizontal="right" vertical="center" wrapText="1"/>
    </xf>
    <xf numFmtId="3" fontId="6" fillId="0" borderId="16" xfId="15" applyNumberFormat="1" applyFont="1" applyBorder="1" applyAlignment="1">
      <alignment horizontal="right" vertical="center" wrapText="1"/>
    </xf>
    <xf numFmtId="3" fontId="6" fillId="0" borderId="17" xfId="15" applyNumberFormat="1" applyFont="1" applyBorder="1" applyAlignment="1">
      <alignment horizontal="right" vertical="center" wrapText="1"/>
    </xf>
    <xf numFmtId="3" fontId="6" fillId="0" borderId="18" xfId="15" applyNumberFormat="1" applyFont="1" applyBorder="1" applyAlignment="1">
      <alignment horizontal="right" vertical="center" wrapText="1"/>
    </xf>
    <xf numFmtId="3" fontId="8" fillId="0" borderId="14" xfId="15" applyNumberFormat="1" applyFont="1" applyBorder="1" applyAlignment="1">
      <alignment horizontal="right" vertical="center" wrapText="1"/>
    </xf>
    <xf numFmtId="3" fontId="9" fillId="0" borderId="14" xfId="15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0" fontId="6" fillId="0" borderId="0" xfId="17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center" vertical="center" wrapText="1"/>
    </xf>
    <xf numFmtId="165" fontId="6" fillId="0" borderId="10" xfId="15" applyNumberFormat="1" applyFont="1" applyBorder="1" applyAlignment="1">
      <alignment horizontal="center" vertical="center" wrapText="1"/>
    </xf>
    <xf numFmtId="4" fontId="6" fillId="0" borderId="0" xfId="17" applyNumberFormat="1" applyFont="1" applyBorder="1" applyAlignment="1">
      <alignment horizontal="right" vertical="center" wrapText="1"/>
    </xf>
    <xf numFmtId="3" fontId="6" fillId="0" borderId="19" xfId="15" applyNumberFormat="1" applyFont="1" applyBorder="1" applyAlignment="1">
      <alignment horizontal="right" vertical="center" wrapText="1"/>
    </xf>
    <xf numFmtId="3" fontId="6" fillId="0" borderId="20" xfId="15" applyNumberFormat="1" applyFont="1" applyBorder="1" applyAlignment="1">
      <alignment horizontal="right" vertical="center" wrapText="1"/>
    </xf>
    <xf numFmtId="3" fontId="6" fillId="0" borderId="21" xfId="15" applyNumberFormat="1" applyFont="1" applyBorder="1" applyAlignment="1">
      <alignment horizontal="right" vertical="center" wrapText="1"/>
    </xf>
    <xf numFmtId="3" fontId="6" fillId="0" borderId="22" xfId="15" applyNumberFormat="1" applyFont="1" applyBorder="1" applyAlignment="1">
      <alignment horizontal="right" vertical="center" wrapText="1"/>
    </xf>
    <xf numFmtId="3" fontId="3" fillId="0" borderId="23" xfId="15" applyNumberFormat="1" applyFont="1" applyBorder="1" applyAlignment="1">
      <alignment horizontal="right" vertical="center" wrapText="1"/>
    </xf>
    <xf numFmtId="3" fontId="6" fillId="0" borderId="23" xfId="15" applyNumberFormat="1" applyFont="1" applyBorder="1" applyAlignment="1">
      <alignment horizontal="right" vertical="center" wrapText="1"/>
    </xf>
    <xf numFmtId="3" fontId="8" fillId="0" borderId="23" xfId="15" applyNumberFormat="1" applyFont="1" applyBorder="1" applyAlignment="1">
      <alignment horizontal="right" vertical="center" wrapText="1"/>
    </xf>
    <xf numFmtId="3" fontId="9" fillId="0" borderId="23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6" fillId="0" borderId="1" xfId="15" applyNumberFormat="1" applyFont="1" applyBorder="1" applyAlignment="1">
      <alignment horizontal="right" vertical="center" wrapText="1"/>
    </xf>
    <xf numFmtId="3" fontId="6" fillId="0" borderId="1" xfId="15" applyNumberFormat="1" applyFont="1" applyBorder="1" applyAlignment="1">
      <alignment horizontal="right" vertical="center" wrapText="1"/>
    </xf>
    <xf numFmtId="3" fontId="6" fillId="0" borderId="2" xfId="15" applyNumberFormat="1" applyFont="1" applyBorder="1" applyAlignment="1">
      <alignment horizontal="right" vertical="center" wrapText="1"/>
    </xf>
    <xf numFmtId="3" fontId="6" fillId="0" borderId="24" xfId="15" applyNumberFormat="1" applyFont="1" applyBorder="1" applyAlignment="1">
      <alignment horizontal="right" vertical="center" wrapText="1"/>
    </xf>
    <xf numFmtId="3" fontId="6" fillId="0" borderId="25" xfId="15" applyNumberFormat="1" applyFont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10" fontId="6" fillId="0" borderId="14" xfId="17" applyNumberFormat="1" applyFont="1" applyBorder="1" applyAlignment="1">
      <alignment horizontal="right" vertical="center" wrapText="1"/>
    </xf>
    <xf numFmtId="10" fontId="6" fillId="0" borderId="23" xfId="17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3" fillId="0" borderId="27" xfId="15" applyNumberFormat="1" applyFont="1" applyBorder="1" applyAlignment="1">
      <alignment horizontal="right" vertical="center" wrapText="1"/>
    </xf>
    <xf numFmtId="164" fontId="6" fillId="0" borderId="10" xfId="15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0" fontId="3" fillId="0" borderId="14" xfId="17" applyNumberFormat="1" applyFont="1" applyBorder="1" applyAlignment="1">
      <alignment horizontal="right" vertical="center" wrapText="1"/>
    </xf>
    <xf numFmtId="10" fontId="3" fillId="0" borderId="3" xfId="17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0" fontId="3" fillId="0" borderId="10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 quotePrefix="1">
      <alignment horizontal="center" vertical="center" wrapText="1"/>
    </xf>
    <xf numFmtId="0" fontId="12" fillId="0" borderId="30" xfId="0" applyFont="1" applyBorder="1" applyAlignment="1" quotePrefix="1">
      <alignment horizontal="center" vertical="center" wrapText="1"/>
    </xf>
    <xf numFmtId="16" fontId="13" fillId="0" borderId="30" xfId="0" applyNumberFormat="1" applyFont="1" applyBorder="1" applyAlignment="1">
      <alignment horizontal="center" vertical="center" wrapText="1"/>
    </xf>
    <xf numFmtId="14" fontId="13" fillId="0" borderId="30" xfId="0" applyNumberFormat="1" applyFont="1" applyBorder="1" applyAlignment="1" quotePrefix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3" fillId="0" borderId="3" xfId="17" applyNumberFormat="1" applyFont="1" applyBorder="1" applyAlignment="1">
      <alignment horizontal="right" vertical="center" wrapText="1"/>
    </xf>
    <xf numFmtId="3" fontId="6" fillId="0" borderId="27" xfId="15" applyNumberFormat="1" applyFont="1" applyBorder="1" applyAlignment="1">
      <alignment horizontal="right" vertical="center" wrapText="1"/>
    </xf>
    <xf numFmtId="3" fontId="6" fillId="0" borderId="31" xfId="15" applyNumberFormat="1" applyFont="1" applyBorder="1" applyAlignment="1">
      <alignment horizontal="right" vertical="center" wrapText="1"/>
    </xf>
    <xf numFmtId="3" fontId="6" fillId="0" borderId="32" xfId="15" applyNumberFormat="1" applyFont="1" applyBorder="1" applyAlignment="1">
      <alignment horizontal="right" vertical="center" wrapText="1"/>
    </xf>
    <xf numFmtId="3" fontId="6" fillId="0" borderId="33" xfId="15" applyNumberFormat="1" applyFont="1" applyBorder="1" applyAlignment="1">
      <alignment horizontal="right" vertical="center" wrapText="1"/>
    </xf>
    <xf numFmtId="3" fontId="6" fillId="0" borderId="34" xfId="15" applyNumberFormat="1" applyFont="1" applyBorder="1" applyAlignment="1">
      <alignment horizontal="right" vertical="center" wrapText="1"/>
    </xf>
    <xf numFmtId="3" fontId="6" fillId="0" borderId="35" xfId="15" applyNumberFormat="1" applyFont="1" applyBorder="1" applyAlignment="1">
      <alignment horizontal="right" vertical="center" wrapText="1"/>
    </xf>
    <xf numFmtId="3" fontId="9" fillId="0" borderId="27" xfId="15" applyNumberFormat="1" applyFont="1" applyBorder="1" applyAlignment="1">
      <alignment horizontal="right" vertical="center" wrapText="1"/>
    </xf>
    <xf numFmtId="10" fontId="3" fillId="0" borderId="27" xfId="15" applyNumberFormat="1" applyFont="1" applyBorder="1" applyAlignment="1">
      <alignment horizontal="right" vertical="center" wrapText="1"/>
    </xf>
    <xf numFmtId="0" fontId="5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5" fillId="2" borderId="36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3" fillId="0" borderId="14" xfId="17" applyNumberFormat="1" applyFont="1" applyBorder="1" applyAlignment="1">
      <alignment horizontal="right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0" fontId="3" fillId="0" borderId="23" xfId="17" applyNumberFormat="1" applyFont="1" applyBorder="1" applyAlignment="1">
      <alignment horizontal="right" vertical="center" wrapText="1"/>
    </xf>
    <xf numFmtId="10" fontId="3" fillId="0" borderId="23" xfId="15" applyNumberFormat="1" applyFont="1" applyBorder="1" applyAlignment="1">
      <alignment horizontal="right" vertical="center" wrapText="1"/>
    </xf>
    <xf numFmtId="3" fontId="3" fillId="0" borderId="23" xfId="17" applyNumberFormat="1" applyFont="1" applyBorder="1" applyAlignment="1">
      <alignment horizontal="right" vertical="center" wrapText="1"/>
    </xf>
    <xf numFmtId="0" fontId="5" fillId="2" borderId="39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16" fontId="12" fillId="0" borderId="42" xfId="0" applyNumberFormat="1" applyFont="1" applyBorder="1" applyAlignment="1">
      <alignment horizontal="center" vertical="center" wrapText="1"/>
    </xf>
    <xf numFmtId="164" fontId="6" fillId="0" borderId="29" xfId="15" applyNumberFormat="1" applyFont="1" applyBorder="1" applyAlignment="1">
      <alignment horizontal="right" vertical="center" wrapText="1"/>
    </xf>
    <xf numFmtId="3" fontId="3" fillId="0" borderId="29" xfId="15" applyNumberFormat="1" applyFont="1" applyBorder="1" applyAlignment="1">
      <alignment horizontal="right" vertical="center" wrapText="1"/>
    </xf>
    <xf numFmtId="3" fontId="3" fillId="0" borderId="43" xfId="15" applyNumberFormat="1" applyFont="1" applyBorder="1" applyAlignment="1">
      <alignment horizontal="right" vertical="center" wrapText="1"/>
    </xf>
    <xf numFmtId="3" fontId="3" fillId="0" borderId="44" xfId="15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0" fontId="3" fillId="0" borderId="7" xfId="17" applyNumberFormat="1" applyFont="1" applyBorder="1" applyAlignment="1">
      <alignment horizontal="right" vertical="center" wrapText="1"/>
    </xf>
    <xf numFmtId="10" fontId="3" fillId="0" borderId="46" xfId="17" applyNumberFormat="1" applyFont="1" applyBorder="1" applyAlignment="1">
      <alignment horizontal="right" vertical="center" wrapText="1"/>
    </xf>
    <xf numFmtId="3" fontId="6" fillId="0" borderId="3" xfId="15" applyNumberFormat="1" applyFont="1" applyFill="1" applyBorder="1" applyAlignment="1">
      <alignment horizontal="right" vertical="center" wrapText="1"/>
    </xf>
    <xf numFmtId="10" fontId="3" fillId="0" borderId="10" xfId="17" applyNumberFormat="1" applyFont="1" applyBorder="1" applyAlignment="1">
      <alignment horizontal="right" vertical="center" wrapText="1"/>
    </xf>
    <xf numFmtId="10" fontId="3" fillId="0" borderId="27" xfId="17" applyNumberFormat="1" applyFont="1" applyBorder="1" applyAlignment="1">
      <alignment horizontal="right" vertical="center" wrapText="1"/>
    </xf>
    <xf numFmtId="3" fontId="8" fillId="0" borderId="27" xfId="15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vertical="center"/>
    </xf>
    <xf numFmtId="3" fontId="6" fillId="0" borderId="26" xfId="15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/>
    </xf>
    <xf numFmtId="10" fontId="6" fillId="0" borderId="27" xfId="17" applyNumberFormat="1" applyFont="1" applyBorder="1" applyAlignment="1">
      <alignment horizontal="right" vertical="center" wrapText="1"/>
    </xf>
    <xf numFmtId="10" fontId="3" fillId="0" borderId="47" xfId="17" applyNumberFormat="1" applyFont="1" applyBorder="1" applyAlignment="1">
      <alignment horizontal="right" vertical="center" wrapText="1"/>
    </xf>
    <xf numFmtId="3" fontId="3" fillId="0" borderId="27" xfId="17" applyNumberFormat="1" applyFont="1" applyBorder="1" applyAlignment="1">
      <alignment horizontal="right" vertical="center" wrapText="1"/>
    </xf>
    <xf numFmtId="3" fontId="8" fillId="0" borderId="3" xfId="15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3" fontId="6" fillId="0" borderId="48" xfId="15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0" fontId="6" fillId="0" borderId="10" xfId="17" applyNumberFormat="1" applyFont="1" applyBorder="1" applyAlignment="1">
      <alignment horizontal="right" vertical="center" wrapText="1"/>
    </xf>
    <xf numFmtId="10" fontId="3" fillId="0" borderId="9" xfId="17" applyNumberFormat="1" applyFont="1" applyBorder="1" applyAlignment="1">
      <alignment horizontal="right" vertical="center" wrapText="1"/>
    </xf>
    <xf numFmtId="10" fontId="3" fillId="0" borderId="10" xfId="15" applyNumberFormat="1" applyFont="1" applyBorder="1" applyAlignment="1">
      <alignment horizontal="center" vertical="center" wrapText="1"/>
    </xf>
    <xf numFmtId="3" fontId="3" fillId="0" borderId="10" xfId="17" applyNumberFormat="1" applyFont="1" applyBorder="1" applyAlignment="1">
      <alignment horizontal="right" vertical="center" wrapText="1"/>
    </xf>
    <xf numFmtId="3" fontId="3" fillId="0" borderId="49" xfId="15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28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4" fillId="0" borderId="1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13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5" fontId="6" fillId="0" borderId="7" xfId="15" applyNumberFormat="1" applyFont="1" applyBorder="1" applyAlignment="1">
      <alignment horizontal="right" vertical="center" wrapText="1"/>
    </xf>
    <xf numFmtId="10" fontId="6" fillId="0" borderId="7" xfId="17" applyNumberFormat="1" applyFont="1" applyBorder="1" applyAlignment="1">
      <alignment horizontal="right" vertical="center" wrapText="1"/>
    </xf>
    <xf numFmtId="10" fontId="6" fillId="0" borderId="46" xfId="17" applyNumberFormat="1" applyFont="1" applyBorder="1" applyAlignment="1">
      <alignment horizontal="right" vertical="center" wrapText="1"/>
    </xf>
    <xf numFmtId="10" fontId="6" fillId="0" borderId="47" xfId="17" applyNumberFormat="1" applyFont="1" applyBorder="1" applyAlignment="1">
      <alignment horizontal="right" vertical="center" wrapText="1"/>
    </xf>
    <xf numFmtId="10" fontId="6" fillId="0" borderId="9" xfId="17" applyNumberFormat="1" applyFont="1" applyBorder="1" applyAlignment="1">
      <alignment horizontal="right" vertical="center" wrapText="1"/>
    </xf>
    <xf numFmtId="10" fontId="6" fillId="0" borderId="7" xfId="17" applyNumberFormat="1" applyFont="1" applyBorder="1" applyAlignment="1">
      <alignment horizontal="center" vertical="center" wrapText="1"/>
    </xf>
    <xf numFmtId="10" fontId="6" fillId="0" borderId="9" xfId="17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vertical="center"/>
    </xf>
    <xf numFmtId="3" fontId="3" fillId="0" borderId="10" xfId="15" applyNumberFormat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3" fillId="0" borderId="23" xfId="15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4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 applyProtection="1">
      <alignment vertical="top" wrapText="1"/>
      <protection/>
    </xf>
    <xf numFmtId="0" fontId="1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view="pageBreakPreview" zoomScale="90" zoomScaleNormal="90" zoomScaleSheetLayoutView="90" workbookViewId="0" topLeftCell="A1">
      <pane xSplit="4" ySplit="7" topLeftCell="F6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4" sqref="M4"/>
    </sheetView>
  </sheetViews>
  <sheetFormatPr defaultColWidth="8.88671875" defaultRowHeight="18.75" outlineLevelRow="1" outlineLevelCol="1"/>
  <cols>
    <col min="1" max="1" width="4.88671875" style="0" customWidth="1"/>
    <col min="2" max="2" width="44.3359375" style="0" customWidth="1"/>
    <col min="3" max="3" width="15.77734375" style="0" hidden="1" customWidth="1"/>
    <col min="4" max="4" width="10.3359375" style="0" hidden="1" customWidth="1" outlineLevel="1"/>
    <col min="5" max="5" width="10.3359375" style="0" customWidth="1" collapsed="1"/>
    <col min="6" max="6" width="10.3359375" style="0" customWidth="1"/>
    <col min="7" max="7" width="10.99609375" style="0" customWidth="1"/>
    <col min="8" max="9" width="10.3359375" style="0" customWidth="1"/>
    <col min="10" max="11" width="10.77734375" style="0" customWidth="1"/>
    <col min="12" max="12" width="10.3359375" style="0" customWidth="1"/>
    <col min="13" max="16" width="10.77734375" style="0" customWidth="1"/>
    <col min="17" max="17" width="10.10546875" style="0" customWidth="1"/>
    <col min="18" max="18" width="11.10546875" style="0" bestFit="1" customWidth="1"/>
  </cols>
  <sheetData>
    <row r="1" ht="18.75">
      <c r="M1" t="s">
        <v>174</v>
      </c>
    </row>
    <row r="2" spans="13:14" ht="18.75">
      <c r="M2" t="s">
        <v>203</v>
      </c>
      <c r="N2" t="s">
        <v>202</v>
      </c>
    </row>
    <row r="3" spans="1:13" ht="18.75">
      <c r="A3" s="267" t="s">
        <v>178</v>
      </c>
      <c r="B3" s="267"/>
      <c r="C3" s="267"/>
      <c r="D3" s="267"/>
      <c r="E3" s="267"/>
      <c r="F3" s="267"/>
      <c r="G3" s="267"/>
      <c r="H3" s="267"/>
      <c r="I3" s="267"/>
      <c r="J3" s="267"/>
      <c r="M3" t="s">
        <v>175</v>
      </c>
    </row>
    <row r="4" spans="1:13" ht="18.75">
      <c r="A4" s="1"/>
      <c r="B4" s="1"/>
      <c r="C4" s="1"/>
      <c r="D4" s="1"/>
      <c r="E4" s="1"/>
      <c r="F4" s="1"/>
      <c r="G4" s="1"/>
      <c r="H4" s="248"/>
      <c r="I4" s="1"/>
      <c r="J4" s="1"/>
      <c r="M4" t="s">
        <v>204</v>
      </c>
    </row>
    <row r="5" spans="1:16" ht="19.5" thickBot="1">
      <c r="A5" s="2"/>
      <c r="B5" s="2"/>
      <c r="C5" s="3"/>
      <c r="D5" s="2"/>
      <c r="E5" s="2"/>
      <c r="F5" s="2"/>
      <c r="G5" s="2"/>
      <c r="H5" s="249"/>
      <c r="J5" s="4"/>
      <c r="L5" s="4"/>
      <c r="M5" s="5"/>
      <c r="P5" s="4" t="s">
        <v>0</v>
      </c>
    </row>
    <row r="6" spans="1:18" s="6" customFormat="1" ht="25.5">
      <c r="A6" s="268" t="s">
        <v>1</v>
      </c>
      <c r="B6" s="270" t="s">
        <v>2</v>
      </c>
      <c r="C6" s="272" t="s">
        <v>3</v>
      </c>
      <c r="D6" s="274" t="s">
        <v>23</v>
      </c>
      <c r="E6" s="275"/>
      <c r="F6" s="138" t="s">
        <v>103</v>
      </c>
      <c r="G6" s="131" t="s">
        <v>102</v>
      </c>
      <c r="H6" s="134"/>
      <c r="I6" s="130"/>
      <c r="J6" s="130" t="s">
        <v>4</v>
      </c>
      <c r="K6" s="130"/>
      <c r="L6" s="130"/>
      <c r="M6" s="130"/>
      <c r="N6" s="130"/>
      <c r="O6" s="130"/>
      <c r="P6" s="240"/>
      <c r="Q6" s="147"/>
      <c r="R6" s="148"/>
    </row>
    <row r="7" spans="1:18" s="6" customFormat="1" ht="23.25" customHeight="1">
      <c r="A7" s="269"/>
      <c r="B7" s="271"/>
      <c r="C7" s="273"/>
      <c r="D7" s="52">
        <v>2008</v>
      </c>
      <c r="E7" s="35">
        <v>2009</v>
      </c>
      <c r="F7" s="79">
        <v>2010</v>
      </c>
      <c r="G7" s="139">
        <v>2010</v>
      </c>
      <c r="H7" s="76">
        <v>2011</v>
      </c>
      <c r="I7" s="79">
        <v>2012</v>
      </c>
      <c r="J7" s="7">
        <v>2013</v>
      </c>
      <c r="K7" s="8">
        <v>2014</v>
      </c>
      <c r="L7" s="79">
        <v>2015</v>
      </c>
      <c r="M7" s="243">
        <v>2016</v>
      </c>
      <c r="N7" s="79">
        <v>2017</v>
      </c>
      <c r="O7" s="8">
        <v>2018</v>
      </c>
      <c r="P7" s="246">
        <v>2019</v>
      </c>
      <c r="Q7" s="76">
        <v>2020</v>
      </c>
      <c r="R7" s="139">
        <v>2021</v>
      </c>
    </row>
    <row r="8" spans="1:18" s="6" customFormat="1" ht="15.75">
      <c r="A8" s="114">
        <v>1</v>
      </c>
      <c r="B8" s="94" t="s">
        <v>34</v>
      </c>
      <c r="C8" s="9">
        <f aca="true" t="shared" si="0" ref="C8:Q8">+C9+C14</f>
        <v>43900469</v>
      </c>
      <c r="D8" s="10">
        <f t="shared" si="0"/>
        <v>51523758</v>
      </c>
      <c r="E8" s="36">
        <f t="shared" si="0"/>
        <v>49833902</v>
      </c>
      <c r="F8" s="10">
        <f t="shared" si="0"/>
        <v>47799867</v>
      </c>
      <c r="G8" s="65">
        <f>+G9+G14</f>
        <v>57933971</v>
      </c>
      <c r="H8" s="91">
        <f t="shared" si="0"/>
        <v>57365085</v>
      </c>
      <c r="I8" s="10">
        <f t="shared" si="0"/>
        <v>53516201</v>
      </c>
      <c r="J8" s="10">
        <f t="shared" si="0"/>
        <v>59950182</v>
      </c>
      <c r="K8" s="36">
        <f t="shared" si="0"/>
        <v>61586687</v>
      </c>
      <c r="L8" s="10">
        <f t="shared" si="0"/>
        <v>63254288</v>
      </c>
      <c r="M8" s="36">
        <f t="shared" si="0"/>
        <v>59396917</v>
      </c>
      <c r="N8" s="10">
        <f t="shared" si="0"/>
        <v>61088825</v>
      </c>
      <c r="O8" s="10">
        <f t="shared" si="0"/>
        <v>62831490</v>
      </c>
      <c r="P8" s="65">
        <f t="shared" si="0"/>
        <v>64626435</v>
      </c>
      <c r="Q8" s="44">
        <f t="shared" si="0"/>
        <v>66475228</v>
      </c>
      <c r="R8" s="65">
        <f>+R9+R14</f>
        <v>68379485</v>
      </c>
    </row>
    <row r="9" spans="1:18" s="6" customFormat="1" ht="15">
      <c r="A9" s="115" t="s">
        <v>73</v>
      </c>
      <c r="B9" s="102" t="s">
        <v>168</v>
      </c>
      <c r="C9" s="11">
        <f>43900469-C14</f>
        <v>41573229</v>
      </c>
      <c r="D9" s="12">
        <f aca="true" t="shared" si="1" ref="D9:L9">SUM(D10:D13)</f>
        <v>46467282</v>
      </c>
      <c r="E9" s="37">
        <f t="shared" si="1"/>
        <v>47318707</v>
      </c>
      <c r="F9" s="12">
        <f t="shared" si="1"/>
        <v>46946671</v>
      </c>
      <c r="G9" s="66">
        <f>SUM(G10:G13)</f>
        <v>56933971</v>
      </c>
      <c r="H9" s="122">
        <f t="shared" si="1"/>
        <v>49049210</v>
      </c>
      <c r="I9" s="12">
        <f t="shared" si="1"/>
        <v>50183576</v>
      </c>
      <c r="J9" s="12">
        <f t="shared" si="1"/>
        <v>51450182</v>
      </c>
      <c r="K9" s="37">
        <f t="shared" si="1"/>
        <v>53086687</v>
      </c>
      <c r="L9" s="12">
        <f t="shared" si="1"/>
        <v>54754288</v>
      </c>
      <c r="M9" s="37">
        <f aca="true" t="shared" si="2" ref="M9:R9">ROUND(+L9*1.03,0)</f>
        <v>56396917</v>
      </c>
      <c r="N9" s="12">
        <f t="shared" si="2"/>
        <v>58088825</v>
      </c>
      <c r="O9" s="12">
        <f t="shared" si="2"/>
        <v>59831490</v>
      </c>
      <c r="P9" s="66">
        <f t="shared" si="2"/>
        <v>61626435</v>
      </c>
      <c r="Q9" s="45">
        <f t="shared" si="2"/>
        <v>63475228</v>
      </c>
      <c r="R9" s="66">
        <f t="shared" si="2"/>
        <v>65379485</v>
      </c>
    </row>
    <row r="10" spans="1:18" s="6" customFormat="1" ht="15" hidden="1" outlineLevel="1">
      <c r="A10" s="114"/>
      <c r="B10" s="95" t="s">
        <v>24</v>
      </c>
      <c r="C10" s="11"/>
      <c r="D10" s="12">
        <v>31603727</v>
      </c>
      <c r="E10" s="37">
        <v>32052382</v>
      </c>
      <c r="F10" s="12">
        <v>25512135</v>
      </c>
      <c r="G10" s="66">
        <v>31932817</v>
      </c>
      <c r="H10" s="122">
        <f>48924210-SUM(H11:H13)+125000</f>
        <v>32691860</v>
      </c>
      <c r="I10" s="12">
        <v>33543866</v>
      </c>
      <c r="J10" s="12">
        <f aca="true" t="shared" si="3" ref="J10:R10">ROUND(+I10*1.03,0)</f>
        <v>34550182</v>
      </c>
      <c r="K10" s="12">
        <f t="shared" si="3"/>
        <v>35586687</v>
      </c>
      <c r="L10" s="12">
        <f t="shared" si="3"/>
        <v>36654288</v>
      </c>
      <c r="M10" s="37">
        <f t="shared" si="3"/>
        <v>37753917</v>
      </c>
      <c r="N10" s="12">
        <f t="shared" si="3"/>
        <v>38886535</v>
      </c>
      <c r="O10" s="12">
        <f t="shared" si="3"/>
        <v>40053131</v>
      </c>
      <c r="P10" s="66">
        <f t="shared" si="3"/>
        <v>41254725</v>
      </c>
      <c r="Q10" s="45">
        <f t="shared" si="3"/>
        <v>42492367</v>
      </c>
      <c r="R10" s="66">
        <f t="shared" si="3"/>
        <v>43767138</v>
      </c>
    </row>
    <row r="11" spans="1:18" s="6" customFormat="1" ht="15" hidden="1" outlineLevel="1">
      <c r="A11" s="114"/>
      <c r="B11" s="95" t="s">
        <v>25</v>
      </c>
      <c r="C11" s="11"/>
      <c r="D11" s="12">
        <v>9218042</v>
      </c>
      <c r="E11" s="37">
        <v>9596564</v>
      </c>
      <c r="F11" s="12">
        <v>8658598</v>
      </c>
      <c r="G11" s="66">
        <v>10257526</v>
      </c>
      <c r="H11" s="122">
        <v>10654136</v>
      </c>
      <c r="I11" s="12">
        <v>11300000</v>
      </c>
      <c r="J11" s="12">
        <f>+I11+600000</f>
        <v>11900000</v>
      </c>
      <c r="K11" s="37">
        <f aca="true" t="shared" si="4" ref="K11:R11">+J11+600000</f>
        <v>12500000</v>
      </c>
      <c r="L11" s="12">
        <f t="shared" si="4"/>
        <v>13100000</v>
      </c>
      <c r="M11" s="37">
        <f t="shared" si="4"/>
        <v>13700000</v>
      </c>
      <c r="N11" s="12">
        <f t="shared" si="4"/>
        <v>14300000</v>
      </c>
      <c r="O11" s="12">
        <f t="shared" si="4"/>
        <v>14900000</v>
      </c>
      <c r="P11" s="66">
        <f t="shared" si="4"/>
        <v>15500000</v>
      </c>
      <c r="Q11" s="45">
        <f t="shared" si="4"/>
        <v>16100000</v>
      </c>
      <c r="R11" s="66">
        <f t="shared" si="4"/>
        <v>16700000</v>
      </c>
    </row>
    <row r="12" spans="1:18" s="6" customFormat="1" ht="15" hidden="1" outlineLevel="1">
      <c r="A12" s="114"/>
      <c r="B12" s="95" t="s">
        <v>32</v>
      </c>
      <c r="C12" s="11"/>
      <c r="D12" s="12"/>
      <c r="E12" s="37"/>
      <c r="F12" s="12"/>
      <c r="G12" s="66">
        <v>262180</v>
      </c>
      <c r="H12" s="122">
        <v>607570</v>
      </c>
      <c r="I12" s="12">
        <v>339710</v>
      </c>
      <c r="J12" s="12"/>
      <c r="K12" s="37"/>
      <c r="L12" s="12"/>
      <c r="M12" s="37"/>
      <c r="N12" s="12"/>
      <c r="O12" s="12"/>
      <c r="P12" s="66"/>
      <c r="Q12" s="45"/>
      <c r="R12" s="66"/>
    </row>
    <row r="13" spans="1:18" s="6" customFormat="1" ht="15" hidden="1" outlineLevel="1">
      <c r="A13" s="114"/>
      <c r="B13" s="95" t="s">
        <v>31</v>
      </c>
      <c r="C13" s="11"/>
      <c r="D13" s="12">
        <f>126854+7341+4432469+2000+1023799+26860+2281+23909</f>
        <v>5645513</v>
      </c>
      <c r="E13" s="37">
        <v>5669761</v>
      </c>
      <c r="F13" s="12">
        <f>46946671-F11-F10</f>
        <v>12775938</v>
      </c>
      <c r="G13" s="66">
        <f>11822921+1500+2158134+498893</f>
        <v>14481448</v>
      </c>
      <c r="H13" s="122">
        <f>4220444+873500+1700</f>
        <v>5095644</v>
      </c>
      <c r="I13" s="12">
        <v>5000000</v>
      </c>
      <c r="J13" s="12">
        <v>5000000</v>
      </c>
      <c r="K13" s="37">
        <v>5000000</v>
      </c>
      <c r="L13" s="12">
        <v>5000000</v>
      </c>
      <c r="M13" s="37"/>
      <c r="N13" s="12"/>
      <c r="O13" s="12"/>
      <c r="P13" s="66"/>
      <c r="Q13" s="45"/>
      <c r="R13" s="66"/>
    </row>
    <row r="14" spans="1:18" s="6" customFormat="1" ht="15" collapsed="1">
      <c r="A14" s="115" t="s">
        <v>74</v>
      </c>
      <c r="B14" s="102" t="s">
        <v>18</v>
      </c>
      <c r="C14" s="11">
        <f>SUM(C15:C17)</f>
        <v>2327240</v>
      </c>
      <c r="D14" s="12">
        <f>SUM(D15:D17)</f>
        <v>5056476</v>
      </c>
      <c r="E14" s="37">
        <f aca="true" t="shared" si="5" ref="E14:L14">SUM(E15:E17)</f>
        <v>2515195</v>
      </c>
      <c r="F14" s="12">
        <f t="shared" si="5"/>
        <v>853196</v>
      </c>
      <c r="G14" s="66">
        <f>SUM(G15:G17)</f>
        <v>1000000</v>
      </c>
      <c r="H14" s="122">
        <f t="shared" si="5"/>
        <v>8315875</v>
      </c>
      <c r="I14" s="12">
        <f t="shared" si="5"/>
        <v>3332625</v>
      </c>
      <c r="J14" s="12">
        <f t="shared" si="5"/>
        <v>8500000</v>
      </c>
      <c r="K14" s="37">
        <f t="shared" si="5"/>
        <v>8500000</v>
      </c>
      <c r="L14" s="12">
        <f t="shared" si="5"/>
        <v>8500000</v>
      </c>
      <c r="M14" s="37">
        <f aca="true" t="shared" si="6" ref="M14:R14">SUM(M15:M17)</f>
        <v>3000000</v>
      </c>
      <c r="N14" s="12">
        <f t="shared" si="6"/>
        <v>3000000</v>
      </c>
      <c r="O14" s="12">
        <f t="shared" si="6"/>
        <v>3000000</v>
      </c>
      <c r="P14" s="66">
        <f t="shared" si="6"/>
        <v>3000000</v>
      </c>
      <c r="Q14" s="45">
        <f t="shared" si="6"/>
        <v>3000000</v>
      </c>
      <c r="R14" s="66">
        <f t="shared" si="6"/>
        <v>3000000</v>
      </c>
    </row>
    <row r="15" spans="1:18" s="6" customFormat="1" ht="15">
      <c r="A15" s="115" t="s">
        <v>75</v>
      </c>
      <c r="B15" s="96" t="s">
        <v>19</v>
      </c>
      <c r="C15" s="31">
        <v>1118005</v>
      </c>
      <c r="D15" s="32">
        <v>1201654</v>
      </c>
      <c r="E15" s="43">
        <v>1650195</v>
      </c>
      <c r="F15" s="32">
        <f>ROUND(13389.01+116384.29,0)</f>
        <v>129773</v>
      </c>
      <c r="G15" s="68">
        <v>200000</v>
      </c>
      <c r="H15" s="128">
        <f>3160000+45000</f>
        <v>3205000</v>
      </c>
      <c r="I15" s="32">
        <v>1500000</v>
      </c>
      <c r="J15" s="32">
        <v>2000000</v>
      </c>
      <c r="K15" s="43">
        <v>2000000</v>
      </c>
      <c r="L15" s="32">
        <v>2000000</v>
      </c>
      <c r="M15" s="43">
        <v>2000000</v>
      </c>
      <c r="N15" s="32">
        <v>2000000</v>
      </c>
      <c r="O15" s="32">
        <v>2000000</v>
      </c>
      <c r="P15" s="68">
        <v>2000000</v>
      </c>
      <c r="Q15" s="51">
        <v>2000000</v>
      </c>
      <c r="R15" s="68">
        <v>2000000</v>
      </c>
    </row>
    <row r="16" spans="1:18" s="6" customFormat="1" ht="15" hidden="1" outlineLevel="1">
      <c r="A16" s="114"/>
      <c r="B16" s="95" t="s">
        <v>32</v>
      </c>
      <c r="C16" s="31"/>
      <c r="D16" s="32"/>
      <c r="E16" s="43"/>
      <c r="F16" s="32"/>
      <c r="G16" s="68"/>
      <c r="H16" s="32">
        <f>+'wykaz przedsięwzięć'!P35</f>
        <v>4012184</v>
      </c>
      <c r="I16" s="32">
        <f>+'wykaz przedsięwzięć'!Q35</f>
        <v>332625</v>
      </c>
      <c r="J16" s="12">
        <v>5000000</v>
      </c>
      <c r="K16" s="12">
        <v>5000000</v>
      </c>
      <c r="L16" s="12">
        <v>5000000</v>
      </c>
      <c r="M16" s="43"/>
      <c r="N16" s="32"/>
      <c r="O16" s="32"/>
      <c r="P16" s="68"/>
      <c r="Q16" s="51"/>
      <c r="R16" s="68"/>
    </row>
    <row r="17" spans="1:18" s="6" customFormat="1" ht="15" hidden="1" outlineLevel="1">
      <c r="A17" s="114"/>
      <c r="B17" s="95" t="s">
        <v>31</v>
      </c>
      <c r="C17" s="31">
        <v>1209235</v>
      </c>
      <c r="D17" s="32">
        <v>3854822</v>
      </c>
      <c r="E17" s="43">
        <v>865000</v>
      </c>
      <c r="F17" s="32">
        <f>ROUND(853196.45-F15,0)</f>
        <v>723423</v>
      </c>
      <c r="G17" s="68">
        <v>800000</v>
      </c>
      <c r="H17" s="128">
        <f>1100000-2000+700-9</f>
        <v>1098691</v>
      </c>
      <c r="I17" s="32">
        <v>1500000</v>
      </c>
      <c r="J17" s="32">
        <v>1500000</v>
      </c>
      <c r="K17" s="43">
        <v>1500000</v>
      </c>
      <c r="L17" s="32">
        <v>1500000</v>
      </c>
      <c r="M17" s="43">
        <v>1000000</v>
      </c>
      <c r="N17" s="32">
        <v>1000000</v>
      </c>
      <c r="O17" s="32">
        <v>1000000</v>
      </c>
      <c r="P17" s="68">
        <v>1000000</v>
      </c>
      <c r="Q17" s="51">
        <v>1000000</v>
      </c>
      <c r="R17" s="68">
        <v>1000000</v>
      </c>
    </row>
    <row r="18" spans="1:18" s="25" customFormat="1" ht="15" collapsed="1">
      <c r="A18" s="114">
        <v>2</v>
      </c>
      <c r="B18" s="94" t="s">
        <v>39</v>
      </c>
      <c r="C18" s="29">
        <f aca="true" t="shared" si="7" ref="C18:R18">SUM(C19:C23)</f>
        <v>35107957</v>
      </c>
      <c r="D18" s="30">
        <f t="shared" si="7"/>
        <v>37297311</v>
      </c>
      <c r="E18" s="42">
        <f t="shared" si="7"/>
        <v>41798753</v>
      </c>
      <c r="F18" s="30">
        <f t="shared" si="7"/>
        <v>38117356</v>
      </c>
      <c r="G18" s="67">
        <f t="shared" si="7"/>
        <v>44835190</v>
      </c>
      <c r="H18" s="169">
        <f t="shared" si="7"/>
        <v>47084262</v>
      </c>
      <c r="I18" s="176">
        <f t="shared" si="7"/>
        <v>47315464</v>
      </c>
      <c r="J18" s="30">
        <f t="shared" si="7"/>
        <v>47512841</v>
      </c>
      <c r="K18" s="42">
        <f t="shared" si="7"/>
        <v>46627500</v>
      </c>
      <c r="L18" s="30">
        <f t="shared" si="7"/>
        <v>47093775</v>
      </c>
      <c r="M18" s="42">
        <f t="shared" si="7"/>
        <v>47564713</v>
      </c>
      <c r="N18" s="30">
        <f t="shared" si="7"/>
        <v>49195868</v>
      </c>
      <c r="O18" s="30">
        <f t="shared" si="7"/>
        <v>50884126</v>
      </c>
      <c r="P18" s="67">
        <f t="shared" si="7"/>
        <v>52631527</v>
      </c>
      <c r="Q18" s="50">
        <f t="shared" si="7"/>
        <v>54440186</v>
      </c>
      <c r="R18" s="67">
        <f t="shared" si="7"/>
        <v>56312293</v>
      </c>
    </row>
    <row r="19" spans="1:18" s="25" customFormat="1" ht="15">
      <c r="A19" s="115" t="s">
        <v>77</v>
      </c>
      <c r="B19" s="95" t="s">
        <v>76</v>
      </c>
      <c r="C19" s="11">
        <v>13342647</v>
      </c>
      <c r="D19" s="12">
        <v>14526520</v>
      </c>
      <c r="E19" s="37">
        <v>15807353</v>
      </c>
      <c r="F19" s="12">
        <v>12690852</v>
      </c>
      <c r="G19" s="66">
        <v>17668065</v>
      </c>
      <c r="H19" s="122">
        <v>19430239</v>
      </c>
      <c r="I19" s="12">
        <f aca="true" t="shared" si="8" ref="I19:M20">ROUND(+H19*1.01,0)</f>
        <v>19624541</v>
      </c>
      <c r="J19" s="12">
        <f t="shared" si="8"/>
        <v>19820786</v>
      </c>
      <c r="K19" s="12">
        <f t="shared" si="8"/>
        <v>20018994</v>
      </c>
      <c r="L19" s="12">
        <f t="shared" si="8"/>
        <v>20219184</v>
      </c>
      <c r="M19" s="37">
        <f t="shared" si="8"/>
        <v>20421376</v>
      </c>
      <c r="N19" s="12">
        <f>ROUND(+M19*1.04,0)</f>
        <v>21238231</v>
      </c>
      <c r="O19" s="12">
        <f>ROUND(+N19*1.04,0)</f>
        <v>22087760</v>
      </c>
      <c r="P19" s="66">
        <f>ROUND(+O19*1.04,0)</f>
        <v>22971270</v>
      </c>
      <c r="Q19" s="45">
        <f>ROUND(+P19*1.04,0)</f>
        <v>23890121</v>
      </c>
      <c r="R19" s="66">
        <f>ROUND(+Q19*1.04,0)</f>
        <v>24845726</v>
      </c>
    </row>
    <row r="20" spans="1:18" s="25" customFormat="1" ht="15">
      <c r="A20" s="115" t="s">
        <v>78</v>
      </c>
      <c r="B20" s="95" t="s">
        <v>79</v>
      </c>
      <c r="C20" s="11">
        <v>21765310</v>
      </c>
      <c r="D20" s="12">
        <f>48796682-26025891</f>
        <v>22770791</v>
      </c>
      <c r="E20" s="37">
        <f>53975683-27984283</f>
        <v>25991400</v>
      </c>
      <c r="F20" s="12">
        <f>38305189-F19-F45</f>
        <v>25426504</v>
      </c>
      <c r="G20" s="66">
        <f>56895734-30553968+563179</f>
        <v>26904945</v>
      </c>
      <c r="H20" s="122">
        <f>48170942-H19-H23-H45</f>
        <v>25825953</v>
      </c>
      <c r="I20" s="12">
        <f t="shared" si="8"/>
        <v>26084213</v>
      </c>
      <c r="J20" s="12">
        <f t="shared" si="8"/>
        <v>26345055</v>
      </c>
      <c r="K20" s="12">
        <f t="shared" si="8"/>
        <v>26608506</v>
      </c>
      <c r="L20" s="12">
        <f t="shared" si="8"/>
        <v>26874591</v>
      </c>
      <c r="M20" s="37">
        <f t="shared" si="8"/>
        <v>27143337</v>
      </c>
      <c r="N20" s="12">
        <f>ROUND(+M20*1.03,0)</f>
        <v>27957637</v>
      </c>
      <c r="O20" s="12">
        <f>ROUND(+N20*1.03,0)</f>
        <v>28796366</v>
      </c>
      <c r="P20" s="66">
        <f>ROUND(+O20*1.03,0)</f>
        <v>29660257</v>
      </c>
      <c r="Q20" s="45">
        <f>ROUND(+P20*1.03,0)</f>
        <v>30550065</v>
      </c>
      <c r="R20" s="66">
        <f>ROUND(+Q20*1.03,0)</f>
        <v>31466567</v>
      </c>
    </row>
    <row r="21" spans="1:18" s="25" customFormat="1" ht="15">
      <c r="A21" s="115" t="s">
        <v>80</v>
      </c>
      <c r="B21" s="102" t="s">
        <v>81</v>
      </c>
      <c r="C21" s="11"/>
      <c r="D21" s="12"/>
      <c r="E21" s="37"/>
      <c r="F21" s="12"/>
      <c r="G21" s="66"/>
      <c r="H21" s="122"/>
      <c r="I21" s="12"/>
      <c r="J21" s="12"/>
      <c r="K21" s="37"/>
      <c r="L21" s="12"/>
      <c r="M21" s="37"/>
      <c r="N21" s="12"/>
      <c r="O21" s="12"/>
      <c r="P21" s="66"/>
      <c r="Q21" s="45"/>
      <c r="R21" s="66"/>
    </row>
    <row r="22" spans="1:18" s="25" customFormat="1" ht="25.5">
      <c r="A22" s="115" t="s">
        <v>82</v>
      </c>
      <c r="B22" s="102" t="s">
        <v>83</v>
      </c>
      <c r="C22" s="11"/>
      <c r="D22" s="12"/>
      <c r="E22" s="37"/>
      <c r="F22" s="12"/>
      <c r="G22" s="66"/>
      <c r="H22" s="122"/>
      <c r="I22" s="12"/>
      <c r="J22" s="12"/>
      <c r="K22" s="37"/>
      <c r="L22" s="12"/>
      <c r="M22" s="37"/>
      <c r="N22" s="12"/>
      <c r="O22" s="12"/>
      <c r="P22" s="66"/>
      <c r="Q22" s="45"/>
      <c r="R22" s="66"/>
    </row>
    <row r="23" spans="1:18" s="25" customFormat="1" ht="15">
      <c r="A23" s="115" t="s">
        <v>85</v>
      </c>
      <c r="B23" s="102" t="s">
        <v>84</v>
      </c>
      <c r="C23" s="11"/>
      <c r="D23" s="12"/>
      <c r="E23" s="37"/>
      <c r="F23" s="12"/>
      <c r="G23" s="66">
        <v>262180</v>
      </c>
      <c r="H23" s="122">
        <v>1828070</v>
      </c>
      <c r="I23" s="12">
        <v>1606710</v>
      </c>
      <c r="J23" s="12">
        <v>1347000</v>
      </c>
      <c r="K23" s="37"/>
      <c r="L23" s="12"/>
      <c r="M23" s="37"/>
      <c r="N23" s="12"/>
      <c r="O23" s="12"/>
      <c r="P23" s="66"/>
      <c r="Q23" s="45"/>
      <c r="R23" s="66"/>
    </row>
    <row r="24" spans="1:18" s="83" customFormat="1" ht="18.75">
      <c r="A24" s="149">
        <v>3</v>
      </c>
      <c r="B24" s="97" t="s">
        <v>86</v>
      </c>
      <c r="C24" s="85">
        <f aca="true" t="shared" si="9" ref="C24:R24">+C8-C18</f>
        <v>8792512</v>
      </c>
      <c r="D24" s="85">
        <f t="shared" si="9"/>
        <v>14226447</v>
      </c>
      <c r="E24" s="85">
        <f t="shared" si="9"/>
        <v>8035149</v>
      </c>
      <c r="F24" s="85">
        <f t="shared" si="9"/>
        <v>9682511</v>
      </c>
      <c r="G24" s="140">
        <f t="shared" si="9"/>
        <v>13098781</v>
      </c>
      <c r="H24" s="170">
        <f t="shared" si="9"/>
        <v>10280823</v>
      </c>
      <c r="I24" s="85">
        <f t="shared" si="9"/>
        <v>6200737</v>
      </c>
      <c r="J24" s="85">
        <f t="shared" si="9"/>
        <v>12437341</v>
      </c>
      <c r="K24" s="177">
        <f t="shared" si="9"/>
        <v>14959187</v>
      </c>
      <c r="L24" s="85">
        <f t="shared" si="9"/>
        <v>16160513</v>
      </c>
      <c r="M24" s="177">
        <f t="shared" si="9"/>
        <v>11832204</v>
      </c>
      <c r="N24" s="85">
        <f t="shared" si="9"/>
        <v>11892957</v>
      </c>
      <c r="O24" s="85">
        <f t="shared" si="9"/>
        <v>11947364</v>
      </c>
      <c r="P24" s="140">
        <f t="shared" si="9"/>
        <v>11994908</v>
      </c>
      <c r="Q24" s="135">
        <f t="shared" si="9"/>
        <v>12035042</v>
      </c>
      <c r="R24" s="140">
        <f t="shared" si="9"/>
        <v>12067192</v>
      </c>
    </row>
    <row r="25" spans="1:18" s="83" customFormat="1" ht="25.5">
      <c r="A25" s="150">
        <v>4</v>
      </c>
      <c r="B25" s="98" t="s">
        <v>41</v>
      </c>
      <c r="C25" s="85">
        <f>+C26</f>
        <v>0</v>
      </c>
      <c r="D25" s="85">
        <f aca="true" t="shared" si="10" ref="D25:R25">+D26</f>
        <v>1042052</v>
      </c>
      <c r="E25" s="85">
        <f t="shared" si="10"/>
        <v>5917962</v>
      </c>
      <c r="F25" s="85">
        <f t="shared" si="10"/>
        <v>1056185</v>
      </c>
      <c r="G25" s="140">
        <f t="shared" si="10"/>
        <v>1056185</v>
      </c>
      <c r="H25" s="170">
        <f t="shared" si="10"/>
        <v>0</v>
      </c>
      <c r="I25" s="85">
        <f t="shared" si="10"/>
        <v>0</v>
      </c>
      <c r="J25" s="85">
        <f t="shared" si="10"/>
        <v>0</v>
      </c>
      <c r="K25" s="177">
        <f t="shared" si="10"/>
        <v>0</v>
      </c>
      <c r="L25" s="85">
        <f t="shared" si="10"/>
        <v>0</v>
      </c>
      <c r="M25" s="177">
        <f t="shared" si="10"/>
        <v>0</v>
      </c>
      <c r="N25" s="85">
        <f t="shared" si="10"/>
        <v>0</v>
      </c>
      <c r="O25" s="85">
        <f t="shared" si="10"/>
        <v>0</v>
      </c>
      <c r="P25" s="140">
        <f t="shared" si="10"/>
        <v>0</v>
      </c>
      <c r="Q25" s="135">
        <f t="shared" si="10"/>
        <v>0</v>
      </c>
      <c r="R25" s="140">
        <f t="shared" si="10"/>
        <v>0</v>
      </c>
    </row>
    <row r="26" spans="1:18" s="83" customFormat="1" ht="38.25">
      <c r="A26" s="151" t="s">
        <v>87</v>
      </c>
      <c r="B26" s="99" t="s">
        <v>40</v>
      </c>
      <c r="C26" s="11"/>
      <c r="D26" s="12">
        <v>1042052</v>
      </c>
      <c r="E26" s="37">
        <v>5917962</v>
      </c>
      <c r="F26" s="12">
        <v>1056185</v>
      </c>
      <c r="G26" s="66">
        <v>1056185</v>
      </c>
      <c r="H26" s="88"/>
      <c r="I26" s="239"/>
      <c r="J26" s="239"/>
      <c r="K26" s="239"/>
      <c r="L26" s="239"/>
      <c r="M26" s="244"/>
      <c r="N26" s="86"/>
      <c r="O26" s="86"/>
      <c r="P26" s="152"/>
      <c r="Q26" s="89"/>
      <c r="R26" s="152"/>
    </row>
    <row r="27" spans="1:18" s="83" customFormat="1" ht="18.75">
      <c r="A27" s="149">
        <v>5</v>
      </c>
      <c r="B27" s="98" t="s">
        <v>42</v>
      </c>
      <c r="C27" s="11"/>
      <c r="D27" s="12"/>
      <c r="E27" s="37"/>
      <c r="F27" s="12"/>
      <c r="G27" s="66"/>
      <c r="H27" s="88"/>
      <c r="I27" s="86"/>
      <c r="J27" s="86"/>
      <c r="K27" s="87"/>
      <c r="L27" s="86"/>
      <c r="M27" s="87"/>
      <c r="N27" s="86"/>
      <c r="O27" s="86"/>
      <c r="P27" s="152"/>
      <c r="Q27" s="89"/>
      <c r="R27" s="152"/>
    </row>
    <row r="28" spans="1:18" s="83" customFormat="1" ht="18.75">
      <c r="A28" s="149">
        <v>6</v>
      </c>
      <c r="B28" s="98" t="s">
        <v>43</v>
      </c>
      <c r="C28" s="10">
        <f>+C24+C25+C27</f>
        <v>8792512</v>
      </c>
      <c r="D28" s="10">
        <f aca="true" t="shared" si="11" ref="D28:R28">+D24+D25+D27</f>
        <v>15268499</v>
      </c>
      <c r="E28" s="10">
        <f t="shared" si="11"/>
        <v>13953111</v>
      </c>
      <c r="F28" s="10">
        <f t="shared" si="11"/>
        <v>10738696</v>
      </c>
      <c r="G28" s="65">
        <f t="shared" si="11"/>
        <v>14154966</v>
      </c>
      <c r="H28" s="91">
        <f t="shared" si="11"/>
        <v>10280823</v>
      </c>
      <c r="I28" s="10">
        <f t="shared" si="11"/>
        <v>6200737</v>
      </c>
      <c r="J28" s="10">
        <f t="shared" si="11"/>
        <v>12437341</v>
      </c>
      <c r="K28" s="36">
        <f t="shared" si="11"/>
        <v>14959187</v>
      </c>
      <c r="L28" s="10">
        <f t="shared" si="11"/>
        <v>16160513</v>
      </c>
      <c r="M28" s="36">
        <f t="shared" si="11"/>
        <v>11832204</v>
      </c>
      <c r="N28" s="10">
        <f t="shared" si="11"/>
        <v>11892957</v>
      </c>
      <c r="O28" s="10">
        <f t="shared" si="11"/>
        <v>11947364</v>
      </c>
      <c r="P28" s="65">
        <f t="shared" si="11"/>
        <v>11994908</v>
      </c>
      <c r="Q28" s="44">
        <f t="shared" si="11"/>
        <v>12035042</v>
      </c>
      <c r="R28" s="65">
        <f t="shared" si="11"/>
        <v>12067192</v>
      </c>
    </row>
    <row r="29" spans="1:18" s="83" customFormat="1" ht="18.75">
      <c r="A29" s="149">
        <v>7</v>
      </c>
      <c r="B29" s="98" t="s">
        <v>44</v>
      </c>
      <c r="C29" s="10">
        <f>+C30+C45</f>
        <v>1732600</v>
      </c>
      <c r="D29" s="10">
        <f aca="true" t="shared" si="12" ref="D29:R29">+D30+D45</f>
        <v>3316543</v>
      </c>
      <c r="E29" s="10">
        <f t="shared" si="12"/>
        <v>3127214</v>
      </c>
      <c r="F29" s="10">
        <f t="shared" si="12"/>
        <v>2287830</v>
      </c>
      <c r="G29" s="65">
        <f>+G30+G45</f>
        <v>4086000</v>
      </c>
      <c r="H29" s="91">
        <f t="shared" si="12"/>
        <v>4563580</v>
      </c>
      <c r="I29" s="10">
        <f t="shared" si="12"/>
        <v>5735240</v>
      </c>
      <c r="J29" s="10">
        <f t="shared" si="12"/>
        <v>5743989.168</v>
      </c>
      <c r="K29" s="36">
        <f t="shared" si="12"/>
        <v>4184286</v>
      </c>
      <c r="L29" s="10">
        <f t="shared" si="12"/>
        <v>3904286</v>
      </c>
      <c r="M29" s="36">
        <f t="shared" si="12"/>
        <v>1989285</v>
      </c>
      <c r="N29" s="10">
        <f t="shared" si="12"/>
        <v>819286</v>
      </c>
      <c r="O29" s="10">
        <f t="shared" si="12"/>
        <v>739286</v>
      </c>
      <c r="P29" s="65">
        <f t="shared" si="12"/>
        <v>739286</v>
      </c>
      <c r="Q29" s="44">
        <f t="shared" si="12"/>
        <v>25000</v>
      </c>
      <c r="R29" s="65">
        <f t="shared" si="12"/>
        <v>25001</v>
      </c>
    </row>
    <row r="30" spans="1:18" s="83" customFormat="1" ht="25.5">
      <c r="A30" s="151" t="s">
        <v>88</v>
      </c>
      <c r="B30" s="99" t="s">
        <v>90</v>
      </c>
      <c r="C30" s="10">
        <f>SUM(C31:C44)</f>
        <v>1545000</v>
      </c>
      <c r="D30" s="10">
        <f>SUM(D31:D44)</f>
        <v>2850000</v>
      </c>
      <c r="E30" s="10">
        <f>+E31+E43+E44</f>
        <v>2599996</v>
      </c>
      <c r="F30" s="10">
        <f aca="true" t="shared" si="13" ref="F30:R30">+F31+F43+F44</f>
        <v>2099997</v>
      </c>
      <c r="G30" s="65">
        <f t="shared" si="13"/>
        <v>3232000</v>
      </c>
      <c r="H30" s="91">
        <f t="shared" si="13"/>
        <v>3476900</v>
      </c>
      <c r="I30" s="10">
        <f t="shared" si="13"/>
        <v>4469000</v>
      </c>
      <c r="J30" s="10">
        <f t="shared" si="13"/>
        <v>4559289</v>
      </c>
      <c r="K30" s="36">
        <f t="shared" si="13"/>
        <v>3339286</v>
      </c>
      <c r="L30" s="10">
        <f t="shared" si="13"/>
        <v>3339286</v>
      </c>
      <c r="M30" s="36">
        <f t="shared" si="13"/>
        <v>1714285</v>
      </c>
      <c r="N30" s="10">
        <f t="shared" si="13"/>
        <v>714286</v>
      </c>
      <c r="O30" s="10">
        <f t="shared" si="13"/>
        <v>714286</v>
      </c>
      <c r="P30" s="65">
        <f t="shared" si="13"/>
        <v>714286</v>
      </c>
      <c r="Q30" s="44">
        <f t="shared" si="13"/>
        <v>0</v>
      </c>
      <c r="R30" s="65">
        <f t="shared" si="13"/>
        <v>1</v>
      </c>
    </row>
    <row r="31" spans="1:18" s="13" customFormat="1" ht="15" hidden="1" outlineLevel="1">
      <c r="A31" s="115" t="s">
        <v>91</v>
      </c>
      <c r="B31" s="95" t="s">
        <v>46</v>
      </c>
      <c r="C31" s="11">
        <v>920000</v>
      </c>
      <c r="D31" s="12">
        <f>600000+1000000</f>
        <v>1600000</v>
      </c>
      <c r="E31" s="37">
        <v>2599996</v>
      </c>
      <c r="F31" s="12">
        <f aca="true" t="shared" si="14" ref="F31:L31">SUM(F32:F41)</f>
        <v>2099997</v>
      </c>
      <c r="G31" s="66">
        <f>SUM(G32:G41)</f>
        <v>3232000</v>
      </c>
      <c r="H31" s="122">
        <f t="shared" si="14"/>
        <v>2851900</v>
      </c>
      <c r="I31" s="12">
        <f t="shared" si="14"/>
        <v>3844000</v>
      </c>
      <c r="J31" s="12">
        <f t="shared" si="14"/>
        <v>3934289</v>
      </c>
      <c r="K31" s="37">
        <f t="shared" si="14"/>
        <v>2714286</v>
      </c>
      <c r="L31" s="12">
        <f t="shared" si="14"/>
        <v>2714286</v>
      </c>
      <c r="M31" s="37">
        <f aca="true" t="shared" si="15" ref="M31:R31">SUM(M32:M41)</f>
        <v>1714285</v>
      </c>
      <c r="N31" s="12">
        <f t="shared" si="15"/>
        <v>714286</v>
      </c>
      <c r="O31" s="12">
        <f t="shared" si="15"/>
        <v>714286</v>
      </c>
      <c r="P31" s="66">
        <f t="shared" si="15"/>
        <v>714286</v>
      </c>
      <c r="Q31" s="45">
        <f t="shared" si="15"/>
        <v>0</v>
      </c>
      <c r="R31" s="66">
        <f t="shared" si="15"/>
        <v>0</v>
      </c>
    </row>
    <row r="32" spans="1:19" s="13" customFormat="1" ht="15" hidden="1" outlineLevel="1">
      <c r="A32" s="116"/>
      <c r="B32" s="100" t="s">
        <v>8</v>
      </c>
      <c r="C32" s="14"/>
      <c r="D32" s="15"/>
      <c r="E32" s="38">
        <v>1000000</v>
      </c>
      <c r="F32" s="12">
        <f>500000+12000-3</f>
        <v>511997</v>
      </c>
      <c r="G32" s="66">
        <v>1000000</v>
      </c>
      <c r="H32" s="124"/>
      <c r="I32" s="15"/>
      <c r="J32" s="15"/>
      <c r="K32" s="38"/>
      <c r="L32" s="12"/>
      <c r="M32" s="37"/>
      <c r="N32" s="15"/>
      <c r="O32" s="15"/>
      <c r="P32" s="61"/>
      <c r="Q32" s="46"/>
      <c r="R32" s="61"/>
      <c r="S32" s="216">
        <f aca="true" t="shared" si="16" ref="S32:S37">SUM(G32:R32)</f>
        <v>1000000</v>
      </c>
    </row>
    <row r="33" spans="1:19" s="13" customFormat="1" ht="15" hidden="1" outlineLevel="1">
      <c r="A33" s="116"/>
      <c r="B33" s="80" t="s">
        <v>9</v>
      </c>
      <c r="C33" s="16"/>
      <c r="D33" s="17"/>
      <c r="E33" s="39">
        <v>600000</v>
      </c>
      <c r="F33" s="12">
        <v>600000</v>
      </c>
      <c r="G33" s="66">
        <v>600000</v>
      </c>
      <c r="H33" s="125"/>
      <c r="I33" s="17"/>
      <c r="J33" s="17"/>
      <c r="K33" s="39"/>
      <c r="L33" s="12"/>
      <c r="M33" s="37"/>
      <c r="N33" s="17"/>
      <c r="O33" s="17"/>
      <c r="P33" s="62"/>
      <c r="Q33" s="47"/>
      <c r="R33" s="62"/>
      <c r="S33" s="216">
        <f t="shared" si="16"/>
        <v>600000</v>
      </c>
    </row>
    <row r="34" spans="1:19" s="13" customFormat="1" ht="15" hidden="1" outlineLevel="1">
      <c r="A34" s="116"/>
      <c r="B34" s="80" t="s">
        <v>10</v>
      </c>
      <c r="C34" s="16"/>
      <c r="D34" s="17"/>
      <c r="E34" s="39">
        <f>1000000-4</f>
        <v>999996</v>
      </c>
      <c r="F34" s="12">
        <v>512000</v>
      </c>
      <c r="G34" s="66">
        <v>1000000</v>
      </c>
      <c r="H34" s="125">
        <v>1000000</v>
      </c>
      <c r="I34" s="17">
        <v>1000000</v>
      </c>
      <c r="J34" s="17">
        <f>1000000+4</f>
        <v>1000004</v>
      </c>
      <c r="K34" s="39"/>
      <c r="L34" s="12"/>
      <c r="M34" s="37"/>
      <c r="N34" s="17"/>
      <c r="O34" s="17"/>
      <c r="P34" s="62"/>
      <c r="Q34" s="47"/>
      <c r="R34" s="62"/>
      <c r="S34" s="216">
        <f>SUM(E34,G34:R34)</f>
        <v>5000000</v>
      </c>
    </row>
    <row r="35" spans="1:19" s="13" customFormat="1" ht="15" hidden="1" outlineLevel="1">
      <c r="A35" s="116"/>
      <c r="B35" s="69" t="s">
        <v>171</v>
      </c>
      <c r="C35" s="69"/>
      <c r="D35" s="69"/>
      <c r="E35" s="70"/>
      <c r="F35" s="141"/>
      <c r="G35" s="142"/>
      <c r="H35" s="125">
        <f>+G65/5</f>
        <v>1000000</v>
      </c>
      <c r="I35" s="17">
        <f>+H35</f>
        <v>1000000</v>
      </c>
      <c r="J35" s="17">
        <f>+I35</f>
        <v>1000000</v>
      </c>
      <c r="K35" s="39">
        <f>+J35</f>
        <v>1000000</v>
      </c>
      <c r="L35" s="12">
        <f>+K35</f>
        <v>1000000</v>
      </c>
      <c r="M35" s="37"/>
      <c r="N35" s="17"/>
      <c r="O35" s="17"/>
      <c r="P35" s="62"/>
      <c r="Q35" s="47"/>
      <c r="R35" s="62"/>
      <c r="S35" s="216">
        <f t="shared" si="16"/>
        <v>5000000</v>
      </c>
    </row>
    <row r="36" spans="1:19" s="13" customFormat="1" ht="15" hidden="1" outlineLevel="1">
      <c r="A36" s="116"/>
      <c r="B36" s="69" t="s">
        <v>20</v>
      </c>
      <c r="C36" s="69"/>
      <c r="D36" s="69"/>
      <c r="E36" s="70"/>
      <c r="F36" s="141"/>
      <c r="G36" s="142"/>
      <c r="H36" s="125"/>
      <c r="I36" s="17">
        <f>+H65/5</f>
        <v>1000000</v>
      </c>
      <c r="J36" s="17">
        <f>+I36</f>
        <v>1000000</v>
      </c>
      <c r="K36" s="39">
        <f>+J36</f>
        <v>1000000</v>
      </c>
      <c r="L36" s="12">
        <f>+K36</f>
        <v>1000000</v>
      </c>
      <c r="M36" s="37">
        <f>+L36</f>
        <v>1000000</v>
      </c>
      <c r="N36" s="17"/>
      <c r="O36" s="47"/>
      <c r="P36" s="123"/>
      <c r="Q36" s="47"/>
      <c r="R36" s="123"/>
      <c r="S36" s="216">
        <f t="shared" si="16"/>
        <v>5000000</v>
      </c>
    </row>
    <row r="37" spans="1:19" s="13" customFormat="1" ht="15" hidden="1" outlineLevel="1">
      <c r="A37" s="116"/>
      <c r="B37" s="69" t="s">
        <v>21</v>
      </c>
      <c r="C37" s="69"/>
      <c r="D37" s="69"/>
      <c r="E37" s="70"/>
      <c r="F37" s="141"/>
      <c r="G37" s="142"/>
      <c r="H37" s="125"/>
      <c r="I37" s="17"/>
      <c r="J37" s="17">
        <f>ROUND(+I65/7,0)-1</f>
        <v>714285</v>
      </c>
      <c r="K37" s="39">
        <f>+J37+1</f>
        <v>714286</v>
      </c>
      <c r="L37" s="12">
        <f>+K37</f>
        <v>714286</v>
      </c>
      <c r="M37" s="37">
        <f>+L37-1</f>
        <v>714285</v>
      </c>
      <c r="N37" s="17">
        <f>+M37+1</f>
        <v>714286</v>
      </c>
      <c r="O37" s="47">
        <f>+N37</f>
        <v>714286</v>
      </c>
      <c r="P37" s="123">
        <f>+O37</f>
        <v>714286</v>
      </c>
      <c r="Q37" s="47"/>
      <c r="R37" s="62"/>
      <c r="S37" s="216">
        <f t="shared" si="16"/>
        <v>5000000</v>
      </c>
    </row>
    <row r="38" spans="1:19" s="13" customFormat="1" ht="15" hidden="1" outlineLevel="1">
      <c r="A38" s="116"/>
      <c r="B38" s="69" t="s">
        <v>22</v>
      </c>
      <c r="C38" s="69"/>
      <c r="D38" s="69"/>
      <c r="E38" s="70"/>
      <c r="F38" s="141"/>
      <c r="G38" s="142"/>
      <c r="H38" s="125"/>
      <c r="I38" s="17"/>
      <c r="J38" s="17"/>
      <c r="K38" s="39"/>
      <c r="L38" s="12"/>
      <c r="M38" s="37"/>
      <c r="N38" s="17"/>
      <c r="O38" s="17"/>
      <c r="P38" s="62"/>
      <c r="Q38" s="47"/>
      <c r="R38" s="62"/>
      <c r="S38" s="216">
        <f aca="true" t="shared" si="17" ref="S38:S43">SUM(G38:R38)</f>
        <v>0</v>
      </c>
    </row>
    <row r="39" spans="1:19" s="13" customFormat="1" ht="15" hidden="1" outlineLevel="1">
      <c r="A39" s="116"/>
      <c r="B39" s="69"/>
      <c r="C39" s="69"/>
      <c r="D39" s="69"/>
      <c r="E39" s="70"/>
      <c r="F39" s="141"/>
      <c r="G39" s="142"/>
      <c r="H39" s="125"/>
      <c r="I39" s="17"/>
      <c r="J39" s="17"/>
      <c r="K39" s="39"/>
      <c r="L39" s="12"/>
      <c r="M39" s="37"/>
      <c r="N39" s="17"/>
      <c r="O39" s="17"/>
      <c r="P39" s="62"/>
      <c r="Q39" s="47"/>
      <c r="R39" s="62"/>
      <c r="S39" s="216">
        <f t="shared" si="17"/>
        <v>0</v>
      </c>
    </row>
    <row r="40" spans="1:19" s="13" customFormat="1" ht="15" hidden="1" outlineLevel="1">
      <c r="A40" s="116"/>
      <c r="B40" s="80" t="s">
        <v>12</v>
      </c>
      <c r="C40" s="16"/>
      <c r="D40" s="17"/>
      <c r="E40" s="39"/>
      <c r="F40" s="12"/>
      <c r="G40" s="66"/>
      <c r="H40" s="125">
        <f>62900+55000*3</f>
        <v>227900</v>
      </c>
      <c r="I40" s="17">
        <f>55000*4</f>
        <v>220000</v>
      </c>
      <c r="J40" s="17">
        <f>55000*4</f>
        <v>220000</v>
      </c>
      <c r="K40" s="39"/>
      <c r="L40" s="12"/>
      <c r="M40" s="37"/>
      <c r="N40" s="17"/>
      <c r="O40" s="17"/>
      <c r="P40" s="62"/>
      <c r="Q40" s="47"/>
      <c r="R40" s="62"/>
      <c r="S40" s="216">
        <f t="shared" si="17"/>
        <v>667900</v>
      </c>
    </row>
    <row r="41" spans="1:19" s="13" customFormat="1" ht="15" hidden="1" outlineLevel="1">
      <c r="A41" s="116"/>
      <c r="B41" s="101" t="s">
        <v>173</v>
      </c>
      <c r="C41" s="19"/>
      <c r="D41" s="20"/>
      <c r="E41" s="40"/>
      <c r="F41" s="12">
        <v>476000</v>
      </c>
      <c r="G41" s="66">
        <f>400000+64000+56000*3</f>
        <v>632000</v>
      </c>
      <c r="H41" s="127">
        <f>400000+56000*4</f>
        <v>624000</v>
      </c>
      <c r="I41" s="20">
        <f>400000+56000*4</f>
        <v>624000</v>
      </c>
      <c r="J41" s="20"/>
      <c r="K41" s="40"/>
      <c r="L41" s="12"/>
      <c r="M41" s="37"/>
      <c r="N41" s="20"/>
      <c r="O41" s="20"/>
      <c r="P41" s="64"/>
      <c r="Q41" s="48"/>
      <c r="R41" s="64"/>
      <c r="S41" s="216">
        <f t="shared" si="17"/>
        <v>1880000</v>
      </c>
    </row>
    <row r="42" spans="1:19" s="13" customFormat="1" ht="15" hidden="1" outlineLevel="1">
      <c r="A42" s="116"/>
      <c r="B42" s="102" t="s">
        <v>33</v>
      </c>
      <c r="C42" s="71"/>
      <c r="D42" s="72"/>
      <c r="E42" s="73"/>
      <c r="F42" s="12"/>
      <c r="G42" s="66"/>
      <c r="H42" s="171"/>
      <c r="I42" s="72"/>
      <c r="J42" s="72"/>
      <c r="K42" s="73"/>
      <c r="L42" s="12"/>
      <c r="M42" s="37"/>
      <c r="N42" s="72"/>
      <c r="O42" s="72"/>
      <c r="P42" s="74"/>
      <c r="Q42" s="75"/>
      <c r="R42" s="74"/>
      <c r="S42" s="216">
        <f t="shared" si="17"/>
        <v>0</v>
      </c>
    </row>
    <row r="43" spans="1:19" s="13" customFormat="1" ht="15" hidden="1" outlineLevel="1">
      <c r="A43" s="115" t="s">
        <v>92</v>
      </c>
      <c r="B43" s="95" t="s">
        <v>47</v>
      </c>
      <c r="C43" s="11">
        <v>625000</v>
      </c>
      <c r="D43" s="12">
        <v>1250000</v>
      </c>
      <c r="E43" s="37">
        <v>0</v>
      </c>
      <c r="F43" s="12">
        <v>0</v>
      </c>
      <c r="G43" s="66">
        <v>0</v>
      </c>
      <c r="H43" s="122">
        <v>625000</v>
      </c>
      <c r="I43" s="12">
        <v>625000</v>
      </c>
      <c r="J43" s="12">
        <v>625000</v>
      </c>
      <c r="K43" s="37">
        <v>625000</v>
      </c>
      <c r="L43" s="12">
        <v>625000</v>
      </c>
      <c r="M43" s="37"/>
      <c r="N43" s="12"/>
      <c r="O43" s="12"/>
      <c r="P43" s="66"/>
      <c r="Q43" s="45"/>
      <c r="R43" s="66"/>
      <c r="S43" s="216">
        <f t="shared" si="17"/>
        <v>3125000</v>
      </c>
    </row>
    <row r="44" spans="1:18" s="13" customFormat="1" ht="15" hidden="1" outlineLevel="1">
      <c r="A44" s="115" t="s">
        <v>93</v>
      </c>
      <c r="B44" s="95" t="s">
        <v>48</v>
      </c>
      <c r="C44" s="11">
        <v>0</v>
      </c>
      <c r="D44" s="12">
        <v>0</v>
      </c>
      <c r="E44" s="37">
        <v>0</v>
      </c>
      <c r="F44" s="12">
        <v>0</v>
      </c>
      <c r="G44" s="66">
        <v>0</v>
      </c>
      <c r="H44" s="122">
        <v>0</v>
      </c>
      <c r="I44" s="12">
        <v>0</v>
      </c>
      <c r="J44" s="12">
        <v>0</v>
      </c>
      <c r="K44" s="37">
        <v>0</v>
      </c>
      <c r="L44" s="12">
        <v>0</v>
      </c>
      <c r="M44" s="37">
        <v>0</v>
      </c>
      <c r="N44" s="12">
        <v>0</v>
      </c>
      <c r="O44" s="12">
        <v>0</v>
      </c>
      <c r="P44" s="66">
        <v>0</v>
      </c>
      <c r="Q44" s="45">
        <v>0</v>
      </c>
      <c r="R44" s="66">
        <v>1</v>
      </c>
    </row>
    <row r="45" spans="1:18" s="13" customFormat="1" ht="15" collapsed="1">
      <c r="A45" s="115" t="s">
        <v>89</v>
      </c>
      <c r="B45" s="99" t="s">
        <v>45</v>
      </c>
      <c r="C45" s="11">
        <v>187600</v>
      </c>
      <c r="D45" s="11">
        <v>466543</v>
      </c>
      <c r="E45" s="92">
        <v>527218</v>
      </c>
      <c r="F45" s="12">
        <f aca="true" t="shared" si="18" ref="F45:R45">SUM(F46:F57)</f>
        <v>187833</v>
      </c>
      <c r="G45" s="66">
        <f>SUM(G46:G57)</f>
        <v>854000</v>
      </c>
      <c r="H45" s="122">
        <f t="shared" si="18"/>
        <v>1086680</v>
      </c>
      <c r="I45" s="12">
        <f t="shared" si="18"/>
        <v>1266240</v>
      </c>
      <c r="J45" s="12">
        <f t="shared" si="18"/>
        <v>1184700.168</v>
      </c>
      <c r="K45" s="37">
        <f t="shared" si="18"/>
        <v>845000</v>
      </c>
      <c r="L45" s="12">
        <f t="shared" si="18"/>
        <v>565000</v>
      </c>
      <c r="M45" s="37">
        <f t="shared" si="18"/>
        <v>275000</v>
      </c>
      <c r="N45" s="12">
        <f t="shared" si="18"/>
        <v>105000</v>
      </c>
      <c r="O45" s="12">
        <f t="shared" si="18"/>
        <v>25000</v>
      </c>
      <c r="P45" s="66">
        <f t="shared" si="18"/>
        <v>25000</v>
      </c>
      <c r="Q45" s="45">
        <f t="shared" si="18"/>
        <v>25000</v>
      </c>
      <c r="R45" s="66">
        <f t="shared" si="18"/>
        <v>25000</v>
      </c>
    </row>
    <row r="46" spans="1:18" s="22" customFormat="1" ht="15" hidden="1" outlineLevel="1">
      <c r="A46" s="114"/>
      <c r="B46" s="100" t="s">
        <v>8</v>
      </c>
      <c r="C46" s="23"/>
      <c r="D46" s="28"/>
      <c r="E46" s="41"/>
      <c r="F46" s="12">
        <v>19190</v>
      </c>
      <c r="G46" s="66">
        <v>45000</v>
      </c>
      <c r="H46" s="124"/>
      <c r="I46" s="15"/>
      <c r="J46" s="15"/>
      <c r="K46" s="38"/>
      <c r="L46" s="12"/>
      <c r="M46" s="37"/>
      <c r="N46" s="15"/>
      <c r="O46" s="15"/>
      <c r="P46" s="61"/>
      <c r="Q46" s="46"/>
      <c r="R46" s="61"/>
    </row>
    <row r="47" spans="1:18" s="22" customFormat="1" ht="15" hidden="1" outlineLevel="1">
      <c r="A47" s="114"/>
      <c r="B47" s="80" t="s">
        <v>9</v>
      </c>
      <c r="C47" s="16"/>
      <c r="D47" s="17"/>
      <c r="E47" s="39"/>
      <c r="F47" s="166">
        <v>7644</v>
      </c>
      <c r="G47" s="66">
        <v>24000</v>
      </c>
      <c r="H47" s="125"/>
      <c r="I47" s="17"/>
      <c r="J47" s="17"/>
      <c r="K47" s="39"/>
      <c r="L47" s="12"/>
      <c r="M47" s="37"/>
      <c r="N47" s="17"/>
      <c r="O47" s="17"/>
      <c r="P47" s="62"/>
      <c r="Q47" s="47"/>
      <c r="R47" s="62"/>
    </row>
    <row r="48" spans="1:18" s="22" customFormat="1" ht="15" hidden="1" outlineLevel="1">
      <c r="A48" s="114"/>
      <c r="B48" s="80" t="s">
        <v>10</v>
      </c>
      <c r="C48" s="16"/>
      <c r="D48" s="17"/>
      <c r="E48" s="39"/>
      <c r="F48" s="166">
        <v>107085</v>
      </c>
      <c r="G48" s="66">
        <v>180000</v>
      </c>
      <c r="H48" s="125">
        <f>+H34*4.2%*3</f>
        <v>126000</v>
      </c>
      <c r="I48" s="17">
        <f>+I34*4.2%*2</f>
        <v>84000</v>
      </c>
      <c r="J48" s="17">
        <f>+J34*4.2%*1</f>
        <v>42000.168000000005</v>
      </c>
      <c r="K48" s="39"/>
      <c r="L48" s="12"/>
      <c r="M48" s="37"/>
      <c r="N48" s="17"/>
      <c r="O48" s="17"/>
      <c r="P48" s="62"/>
      <c r="Q48" s="47"/>
      <c r="R48" s="62"/>
    </row>
    <row r="49" spans="1:18" s="22" customFormat="1" ht="15" hidden="1" outlineLevel="1">
      <c r="A49" s="114"/>
      <c r="B49" s="80" t="s">
        <v>14</v>
      </c>
      <c r="C49" s="16"/>
      <c r="D49" s="17"/>
      <c r="E49" s="39"/>
      <c r="F49" s="166">
        <v>0</v>
      </c>
      <c r="G49" s="66">
        <v>240000</v>
      </c>
      <c r="H49" s="125">
        <v>240000</v>
      </c>
      <c r="I49" s="17">
        <v>190000</v>
      </c>
      <c r="J49" s="17">
        <v>140000</v>
      </c>
      <c r="K49" s="39">
        <v>90000</v>
      </c>
      <c r="L49" s="12">
        <v>50000</v>
      </c>
      <c r="M49" s="37"/>
      <c r="N49" s="17"/>
      <c r="O49" s="17"/>
      <c r="P49" s="62"/>
      <c r="Q49" s="47"/>
      <c r="R49" s="62"/>
    </row>
    <row r="50" spans="1:18" s="22" customFormat="1" ht="15" hidden="1" outlineLevel="1">
      <c r="A50" s="114"/>
      <c r="B50" s="18" t="s">
        <v>11</v>
      </c>
      <c r="C50" s="16"/>
      <c r="D50" s="17"/>
      <c r="E50" s="39"/>
      <c r="F50" s="166">
        <v>4582</v>
      </c>
      <c r="G50" s="66">
        <f>+G65*5%</f>
        <v>250000</v>
      </c>
      <c r="H50" s="125">
        <f>+G65*8%</f>
        <v>400000</v>
      </c>
      <c r="I50" s="17">
        <f>+($G65-H35)*8%</f>
        <v>320000</v>
      </c>
      <c r="J50" s="17">
        <f>+($G65-H35-I35)*8%</f>
        <v>240000</v>
      </c>
      <c r="K50" s="17">
        <f>+($G65-H35-I35-J35)*8%</f>
        <v>160000</v>
      </c>
      <c r="L50" s="17">
        <f>+($G65-H35-I35-J35-K35)*8%</f>
        <v>80000</v>
      </c>
      <c r="M50" s="37"/>
      <c r="N50" s="17"/>
      <c r="O50" s="17"/>
      <c r="P50" s="62"/>
      <c r="Q50" s="47"/>
      <c r="R50" s="62"/>
    </row>
    <row r="51" spans="1:18" s="22" customFormat="1" ht="15" hidden="1" outlineLevel="1">
      <c r="A51" s="114"/>
      <c r="B51" s="18" t="s">
        <v>20</v>
      </c>
      <c r="C51" s="16"/>
      <c r="D51" s="17"/>
      <c r="E51" s="39"/>
      <c r="F51" s="166"/>
      <c r="G51" s="66"/>
      <c r="H51" s="125">
        <f>+H65*4%</f>
        <v>200000</v>
      </c>
      <c r="I51" s="17">
        <f>+H65*8%</f>
        <v>400000</v>
      </c>
      <c r="J51" s="17">
        <f>+($H65-J36*1)*8%</f>
        <v>320000</v>
      </c>
      <c r="K51" s="39">
        <f>+($H65-K36*2)*8%</f>
        <v>240000</v>
      </c>
      <c r="L51" s="12">
        <f>+($H65-L36*3)*8%</f>
        <v>160000</v>
      </c>
      <c r="M51" s="37">
        <f>+($H65-M36*4)*8%</f>
        <v>80000</v>
      </c>
      <c r="N51" s="17"/>
      <c r="O51" s="47"/>
      <c r="P51" s="123"/>
      <c r="Q51" s="47"/>
      <c r="R51" s="123"/>
    </row>
    <row r="52" spans="1:18" s="22" customFormat="1" ht="15" hidden="1" outlineLevel="1">
      <c r="A52" s="114"/>
      <c r="B52" s="18" t="s">
        <v>21</v>
      </c>
      <c r="C52" s="16"/>
      <c r="D52" s="17"/>
      <c r="E52" s="39"/>
      <c r="F52" s="166"/>
      <c r="G52" s="66"/>
      <c r="H52" s="125"/>
      <c r="I52" s="17">
        <f>+I65*4%</f>
        <v>200000</v>
      </c>
      <c r="J52" s="17">
        <f>1000000*8%*5</f>
        <v>400000</v>
      </c>
      <c r="K52" s="17">
        <f>1000000*8%*4</f>
        <v>320000</v>
      </c>
      <c r="L52" s="17">
        <f>1000000*8%*3</f>
        <v>240000</v>
      </c>
      <c r="M52" s="39">
        <f>1000000*8%*2</f>
        <v>160000</v>
      </c>
      <c r="N52" s="17">
        <f>1000000*8%*1</f>
        <v>80000</v>
      </c>
      <c r="O52" s="17"/>
      <c r="P52" s="62"/>
      <c r="Q52" s="47"/>
      <c r="R52" s="62"/>
    </row>
    <row r="53" spans="1:18" s="22" customFormat="1" ht="15" hidden="1" outlineLevel="1">
      <c r="A53" s="114"/>
      <c r="B53" s="18" t="s">
        <v>22</v>
      </c>
      <c r="C53" s="16"/>
      <c r="D53" s="17"/>
      <c r="E53" s="39"/>
      <c r="F53" s="166"/>
      <c r="G53" s="66"/>
      <c r="H53" s="125"/>
      <c r="I53" s="17"/>
      <c r="J53" s="17"/>
      <c r="K53" s="39"/>
      <c r="L53" s="12"/>
      <c r="M53" s="37"/>
      <c r="N53" s="17"/>
      <c r="O53" s="17"/>
      <c r="P53" s="62"/>
      <c r="Q53" s="47"/>
      <c r="R53" s="62"/>
    </row>
    <row r="54" spans="1:18" s="22" customFormat="1" ht="15" hidden="1" outlineLevel="1">
      <c r="A54" s="114"/>
      <c r="B54" s="80" t="s">
        <v>12</v>
      </c>
      <c r="C54" s="16"/>
      <c r="D54" s="17"/>
      <c r="E54" s="39"/>
      <c r="F54" s="166">
        <v>0</v>
      </c>
      <c r="G54" s="66">
        <v>10000</v>
      </c>
      <c r="H54" s="125">
        <f>(+G64*3.5%)*2</f>
        <v>42000.00000000001</v>
      </c>
      <c r="I54" s="17">
        <f>+(G64+H64-H40)*3.5%</f>
        <v>15400.000000000002</v>
      </c>
      <c r="J54" s="17">
        <f>+(G64+H64-H40-I40)*3.5%</f>
        <v>7700.000000000001</v>
      </c>
      <c r="K54" s="17">
        <f>+(G64+H64-H40-I40-J40)*3.5%</f>
        <v>0</v>
      </c>
      <c r="L54" s="12"/>
      <c r="M54" s="37"/>
      <c r="N54" s="17"/>
      <c r="O54" s="17"/>
      <c r="P54" s="62"/>
      <c r="Q54" s="47"/>
      <c r="R54" s="62"/>
    </row>
    <row r="55" spans="1:18" s="22" customFormat="1" ht="15" hidden="1" outlineLevel="1">
      <c r="A55" s="114"/>
      <c r="B55" s="81" t="s">
        <v>13</v>
      </c>
      <c r="C55" s="16"/>
      <c r="D55" s="17"/>
      <c r="E55" s="39"/>
      <c r="F55" s="166">
        <v>44972</v>
      </c>
      <c r="G55" s="66">
        <f>+F63*3.5%</f>
        <v>70000</v>
      </c>
      <c r="H55" s="126">
        <f>+(E64-G41)*3.5%</f>
        <v>43680.00000000001</v>
      </c>
      <c r="I55" s="24">
        <f>+(E64-G41-H41)*3.5%</f>
        <v>21840.000000000004</v>
      </c>
      <c r="J55" s="24">
        <f>+(E64-G41-H41-I41)*3.5%</f>
        <v>0</v>
      </c>
      <c r="K55" s="178"/>
      <c r="L55" s="12"/>
      <c r="M55" s="37"/>
      <c r="N55" s="24"/>
      <c r="O55" s="24"/>
      <c r="P55" s="63"/>
      <c r="Q55" s="49"/>
      <c r="R55" s="63"/>
    </row>
    <row r="56" spans="1:18" s="22" customFormat="1" ht="15" hidden="1" outlineLevel="1">
      <c r="A56" s="114"/>
      <c r="B56" s="81" t="s">
        <v>15</v>
      </c>
      <c r="C56" s="16"/>
      <c r="D56" s="17"/>
      <c r="E56" s="39"/>
      <c r="F56" s="166">
        <v>4360</v>
      </c>
      <c r="G56" s="66">
        <v>10000</v>
      </c>
      <c r="H56" s="126">
        <v>10000</v>
      </c>
      <c r="I56" s="24">
        <v>10000</v>
      </c>
      <c r="J56" s="24">
        <v>10000</v>
      </c>
      <c r="K56" s="178">
        <v>10000</v>
      </c>
      <c r="L56" s="12">
        <v>10000</v>
      </c>
      <c r="M56" s="37">
        <v>10000</v>
      </c>
      <c r="N56" s="24"/>
      <c r="O56" s="24"/>
      <c r="P56" s="63"/>
      <c r="Q56" s="49"/>
      <c r="R56" s="63"/>
    </row>
    <row r="57" spans="1:18" s="22" customFormat="1" ht="15" hidden="1" outlineLevel="1">
      <c r="A57" s="114"/>
      <c r="B57" s="82" t="s">
        <v>16</v>
      </c>
      <c r="C57" s="19"/>
      <c r="D57" s="20"/>
      <c r="E57" s="40"/>
      <c r="F57" s="12"/>
      <c r="G57" s="66">
        <v>25000</v>
      </c>
      <c r="H57" s="127">
        <v>25000</v>
      </c>
      <c r="I57" s="20">
        <f aca="true" t="shared" si="19" ref="I57:Q57">+H57</f>
        <v>25000</v>
      </c>
      <c r="J57" s="20">
        <f t="shared" si="19"/>
        <v>25000</v>
      </c>
      <c r="K57" s="40">
        <f t="shared" si="19"/>
        <v>25000</v>
      </c>
      <c r="L57" s="12">
        <f t="shared" si="19"/>
        <v>25000</v>
      </c>
      <c r="M57" s="37">
        <f t="shared" si="19"/>
        <v>25000</v>
      </c>
      <c r="N57" s="20">
        <f t="shared" si="19"/>
        <v>25000</v>
      </c>
      <c r="O57" s="20">
        <f t="shared" si="19"/>
        <v>25000</v>
      </c>
      <c r="P57" s="64">
        <f t="shared" si="19"/>
        <v>25000</v>
      </c>
      <c r="Q57" s="48">
        <f t="shared" si="19"/>
        <v>25000</v>
      </c>
      <c r="R57" s="64">
        <f>+Q57</f>
        <v>25000</v>
      </c>
    </row>
    <row r="58" spans="1:18" s="22" customFormat="1" ht="15.75" collapsed="1">
      <c r="A58" s="117">
        <v>8</v>
      </c>
      <c r="B58" s="103" t="s">
        <v>49</v>
      </c>
      <c r="C58" s="9"/>
      <c r="D58" s="10"/>
      <c r="E58" s="36"/>
      <c r="F58" s="10"/>
      <c r="G58" s="65"/>
      <c r="H58" s="91"/>
      <c r="I58" s="10"/>
      <c r="J58" s="10"/>
      <c r="K58" s="36"/>
      <c r="L58" s="10"/>
      <c r="M58" s="36"/>
      <c r="N58" s="10"/>
      <c r="O58" s="10"/>
      <c r="P58" s="65"/>
      <c r="Q58" s="44"/>
      <c r="R58" s="65"/>
    </row>
    <row r="59" spans="1:18" s="84" customFormat="1" ht="18.75">
      <c r="A59" s="149">
        <v>9</v>
      </c>
      <c r="B59" s="98" t="s">
        <v>50</v>
      </c>
      <c r="C59" s="10">
        <f>+C28-C29-C58</f>
        <v>7059912</v>
      </c>
      <c r="D59" s="10">
        <f aca="true" t="shared" si="20" ref="D59:R59">+D28-D29-D58</f>
        <v>11951956</v>
      </c>
      <c r="E59" s="10">
        <f t="shared" si="20"/>
        <v>10825897</v>
      </c>
      <c r="F59" s="10">
        <f t="shared" si="20"/>
        <v>8450866</v>
      </c>
      <c r="G59" s="65">
        <f t="shared" si="20"/>
        <v>10068966</v>
      </c>
      <c r="H59" s="91">
        <f t="shared" si="20"/>
        <v>5717243</v>
      </c>
      <c r="I59" s="10">
        <f t="shared" si="20"/>
        <v>465497</v>
      </c>
      <c r="J59" s="10">
        <f t="shared" si="20"/>
        <v>6693351.832</v>
      </c>
      <c r="K59" s="36">
        <f t="shared" si="20"/>
        <v>10774901</v>
      </c>
      <c r="L59" s="10">
        <f t="shared" si="20"/>
        <v>12256227</v>
      </c>
      <c r="M59" s="36">
        <f t="shared" si="20"/>
        <v>9842919</v>
      </c>
      <c r="N59" s="10">
        <f t="shared" si="20"/>
        <v>11073671</v>
      </c>
      <c r="O59" s="10">
        <f t="shared" si="20"/>
        <v>11208078</v>
      </c>
      <c r="P59" s="65">
        <f t="shared" si="20"/>
        <v>11255622</v>
      </c>
      <c r="Q59" s="44">
        <f t="shared" si="20"/>
        <v>12010042</v>
      </c>
      <c r="R59" s="65">
        <f t="shared" si="20"/>
        <v>12042191</v>
      </c>
    </row>
    <row r="60" spans="1:18" s="25" customFormat="1" ht="15.75">
      <c r="A60" s="117">
        <v>10</v>
      </c>
      <c r="B60" s="103" t="s">
        <v>53</v>
      </c>
      <c r="C60" s="29">
        <v>14908607</v>
      </c>
      <c r="D60" s="30">
        <f>SUM(D61:D62)</f>
        <v>11032828</v>
      </c>
      <c r="E60" s="42">
        <f aca="true" t="shared" si="21" ref="E60:Q60">SUM(E61:E62)</f>
        <v>11649712</v>
      </c>
      <c r="F60" s="30">
        <f t="shared" si="21"/>
        <v>5673116</v>
      </c>
      <c r="G60" s="67">
        <f>SUM(G61:G62)</f>
        <v>7722903</v>
      </c>
      <c r="H60" s="91">
        <f t="shared" si="21"/>
        <v>10785143</v>
      </c>
      <c r="I60" s="10">
        <f t="shared" si="21"/>
        <v>5465496.72</v>
      </c>
      <c r="J60" s="10">
        <f t="shared" si="21"/>
        <v>6693351.72</v>
      </c>
      <c r="K60" s="36">
        <f t="shared" si="21"/>
        <v>10774901.44</v>
      </c>
      <c r="L60" s="10">
        <f t="shared" si="21"/>
        <v>12256227.44</v>
      </c>
      <c r="M60" s="36">
        <f t="shared" si="21"/>
        <v>9842919</v>
      </c>
      <c r="N60" s="30">
        <f t="shared" si="21"/>
        <v>11073671</v>
      </c>
      <c r="O60" s="30">
        <f t="shared" si="21"/>
        <v>11208078</v>
      </c>
      <c r="P60" s="67">
        <f t="shared" si="21"/>
        <v>11255622</v>
      </c>
      <c r="Q60" s="50">
        <f t="shared" si="21"/>
        <v>12010042</v>
      </c>
      <c r="R60" s="67">
        <f>SUM(R61:R62)</f>
        <v>12042191</v>
      </c>
    </row>
    <row r="61" spans="1:18" s="25" customFormat="1" ht="25.5">
      <c r="A61" s="115" t="s">
        <v>95</v>
      </c>
      <c r="B61" s="102" t="s">
        <v>51</v>
      </c>
      <c r="C61" s="31"/>
      <c r="D61" s="32"/>
      <c r="E61" s="43"/>
      <c r="F61" s="32"/>
      <c r="G61" s="68"/>
      <c r="H61" s="122">
        <f>+'wykaz przedsięwzięć'!I35</f>
        <v>7911841.72</v>
      </c>
      <c r="I61" s="12">
        <f>+'wykaz przedsięwzięć'!J35</f>
        <v>5423701.72</v>
      </c>
      <c r="J61" s="12">
        <f>+'wykaz przedsięwzięć'!K35</f>
        <v>6662201.72</v>
      </c>
      <c r="K61" s="37">
        <f>+'wykaz przedsięwzięć'!L35</f>
        <v>10755210.44</v>
      </c>
      <c r="L61" s="12">
        <f>+'wykaz przedsięwzięć'!M35</f>
        <v>12245210.44</v>
      </c>
      <c r="M61" s="37">
        <f>+'wykaz przedsięwzięć'!N35</f>
        <v>9000000</v>
      </c>
      <c r="N61" s="32"/>
      <c r="O61" s="32"/>
      <c r="P61" s="68"/>
      <c r="Q61" s="51"/>
      <c r="R61" s="68"/>
    </row>
    <row r="62" spans="1:18" s="25" customFormat="1" ht="15">
      <c r="A62" s="115" t="s">
        <v>96</v>
      </c>
      <c r="B62" s="102" t="s">
        <v>52</v>
      </c>
      <c r="C62" s="31"/>
      <c r="D62" s="32">
        <v>11032828</v>
      </c>
      <c r="E62" s="43">
        <v>11649712</v>
      </c>
      <c r="F62" s="32">
        <v>5673116</v>
      </c>
      <c r="G62" s="68">
        <f>7000000+722903</f>
        <v>7722903</v>
      </c>
      <c r="H62" s="128">
        <f>10615143-H61+170000</f>
        <v>2873301.2800000003</v>
      </c>
      <c r="I62" s="32">
        <v>41795</v>
      </c>
      <c r="J62" s="32">
        <v>31150</v>
      </c>
      <c r="K62" s="43">
        <v>19691</v>
      </c>
      <c r="L62" s="32">
        <v>11017</v>
      </c>
      <c r="M62" s="43">
        <f>842919</f>
        <v>842919</v>
      </c>
      <c r="N62" s="32">
        <v>11073671</v>
      </c>
      <c r="O62" s="32">
        <v>11208078</v>
      </c>
      <c r="P62" s="68">
        <v>11255622</v>
      </c>
      <c r="Q62" s="51">
        <v>12010042</v>
      </c>
      <c r="R62" s="68">
        <v>12042191</v>
      </c>
    </row>
    <row r="63" spans="1:18" s="13" customFormat="1" ht="15.75">
      <c r="A63" s="114" t="s">
        <v>54</v>
      </c>
      <c r="B63" s="98" t="s">
        <v>57</v>
      </c>
      <c r="C63" s="11">
        <f aca="true" t="shared" si="22" ref="C63:R63">SUM(C64:C66)</f>
        <v>6750000</v>
      </c>
      <c r="D63" s="10">
        <f t="shared" si="22"/>
        <v>5000000</v>
      </c>
      <c r="E63" s="36">
        <f t="shared" si="22"/>
        <v>1880000</v>
      </c>
      <c r="F63" s="10">
        <f t="shared" si="22"/>
        <v>2000000</v>
      </c>
      <c r="G63" s="65">
        <f t="shared" si="22"/>
        <v>5600000</v>
      </c>
      <c r="H63" s="91">
        <f t="shared" si="22"/>
        <v>5067900</v>
      </c>
      <c r="I63" s="10">
        <f t="shared" si="22"/>
        <v>5000000</v>
      </c>
      <c r="J63" s="10">
        <f t="shared" si="22"/>
        <v>0</v>
      </c>
      <c r="K63" s="36">
        <f t="shared" si="22"/>
        <v>0</v>
      </c>
      <c r="L63" s="10">
        <f t="shared" si="22"/>
        <v>0</v>
      </c>
      <c r="M63" s="36">
        <f t="shared" si="22"/>
        <v>0</v>
      </c>
      <c r="N63" s="10">
        <f t="shared" si="22"/>
        <v>0</v>
      </c>
      <c r="O63" s="10">
        <f t="shared" si="22"/>
        <v>0</v>
      </c>
      <c r="P63" s="65">
        <f t="shared" si="22"/>
        <v>0</v>
      </c>
      <c r="Q63" s="44">
        <f t="shared" si="22"/>
        <v>0</v>
      </c>
      <c r="R63" s="65">
        <f t="shared" si="22"/>
        <v>0</v>
      </c>
    </row>
    <row r="64" spans="1:18" s="13" customFormat="1" ht="15" hidden="1" outlineLevel="1">
      <c r="A64" s="115" t="s">
        <v>35</v>
      </c>
      <c r="B64" s="102" t="s">
        <v>172</v>
      </c>
      <c r="C64" s="11"/>
      <c r="D64" s="12"/>
      <c r="E64" s="37">
        <v>1880000</v>
      </c>
      <c r="F64" s="12">
        <v>0</v>
      </c>
      <c r="G64" s="66">
        <v>600000</v>
      </c>
      <c r="H64" s="122">
        <v>67900</v>
      </c>
      <c r="I64" s="12"/>
      <c r="J64" s="12"/>
      <c r="K64" s="37"/>
      <c r="L64" s="12"/>
      <c r="M64" s="37"/>
      <c r="N64" s="12"/>
      <c r="O64" s="12"/>
      <c r="P64" s="66"/>
      <c r="Q64" s="45"/>
      <c r="R64" s="66"/>
    </row>
    <row r="65" spans="1:18" s="13" customFormat="1" ht="15" hidden="1" outlineLevel="1">
      <c r="A65" s="115" t="s">
        <v>36</v>
      </c>
      <c r="B65" s="102" t="s">
        <v>56</v>
      </c>
      <c r="C65" s="11">
        <v>3000000</v>
      </c>
      <c r="D65" s="12">
        <v>5000000</v>
      </c>
      <c r="E65" s="37"/>
      <c r="F65" s="12">
        <v>2000000</v>
      </c>
      <c r="G65" s="66">
        <f>5000000+3000000-3000000</f>
        <v>5000000</v>
      </c>
      <c r="H65" s="122">
        <v>5000000</v>
      </c>
      <c r="I65" s="12">
        <v>5000000</v>
      </c>
      <c r="J65" s="12"/>
      <c r="K65" s="37"/>
      <c r="L65" s="12"/>
      <c r="M65" s="37"/>
      <c r="N65" s="12"/>
      <c r="O65" s="12"/>
      <c r="P65" s="66"/>
      <c r="Q65" s="45"/>
      <c r="R65" s="66"/>
    </row>
    <row r="66" spans="1:18" s="13" customFormat="1" ht="15" hidden="1" outlineLevel="1">
      <c r="A66" s="115" t="s">
        <v>55</v>
      </c>
      <c r="B66" s="102" t="s">
        <v>7</v>
      </c>
      <c r="C66" s="11">
        <v>3750000</v>
      </c>
      <c r="D66" s="12"/>
      <c r="E66" s="37"/>
      <c r="F66" s="12"/>
      <c r="G66" s="66"/>
      <c r="H66" s="122"/>
      <c r="I66" s="12"/>
      <c r="J66" s="12"/>
      <c r="K66" s="37"/>
      <c r="L66" s="12"/>
      <c r="M66" s="37"/>
      <c r="N66" s="12"/>
      <c r="O66" s="12"/>
      <c r="P66" s="66"/>
      <c r="Q66" s="45"/>
      <c r="R66" s="66"/>
    </row>
    <row r="67" spans="1:18" s="25" customFormat="1" ht="15.75" collapsed="1">
      <c r="A67" s="114">
        <v>12</v>
      </c>
      <c r="B67" s="94" t="s">
        <v>94</v>
      </c>
      <c r="C67" s="10">
        <f>+C59-C60+C63</f>
        <v>-1098695</v>
      </c>
      <c r="D67" s="10">
        <f aca="true" t="shared" si="23" ref="D67:R67">+D59-D60+D63</f>
        <v>5919128</v>
      </c>
      <c r="E67" s="10">
        <f t="shared" si="23"/>
        <v>1056185</v>
      </c>
      <c r="F67" s="10">
        <f t="shared" si="23"/>
        <v>4777750</v>
      </c>
      <c r="G67" s="65">
        <f>+G59-G60+G63</f>
        <v>7946063</v>
      </c>
      <c r="H67" s="91">
        <f t="shared" si="23"/>
        <v>0</v>
      </c>
      <c r="I67" s="10">
        <f t="shared" si="23"/>
        <v>0.2800000002607703</v>
      </c>
      <c r="J67" s="10">
        <f t="shared" si="23"/>
        <v>0.11200000066310167</v>
      </c>
      <c r="K67" s="36">
        <f t="shared" si="23"/>
        <v>-0.43999999947845936</v>
      </c>
      <c r="L67" s="10">
        <f t="shared" si="23"/>
        <v>-0.43999999947845936</v>
      </c>
      <c r="M67" s="36">
        <f t="shared" si="23"/>
        <v>0</v>
      </c>
      <c r="N67" s="10">
        <f t="shared" si="23"/>
        <v>0</v>
      </c>
      <c r="O67" s="10">
        <f t="shared" si="23"/>
        <v>0</v>
      </c>
      <c r="P67" s="65">
        <f t="shared" si="23"/>
        <v>0</v>
      </c>
      <c r="Q67" s="44">
        <f t="shared" si="23"/>
        <v>0</v>
      </c>
      <c r="R67" s="65">
        <f t="shared" si="23"/>
        <v>0</v>
      </c>
    </row>
    <row r="68" spans="1:18" s="6" customFormat="1" ht="15.75">
      <c r="A68" s="114">
        <v>13</v>
      </c>
      <c r="B68" s="94" t="s">
        <v>58</v>
      </c>
      <c r="C68" s="9">
        <f>+C69+C63</f>
        <v>9175000</v>
      </c>
      <c r="D68" s="10">
        <f>+D69+D63</f>
        <v>11325000</v>
      </c>
      <c r="E68" s="36">
        <f aca="true" t="shared" si="24" ref="E68:M68">+E69</f>
        <v>10605004</v>
      </c>
      <c r="F68" s="10">
        <f t="shared" si="24"/>
        <v>8029007</v>
      </c>
      <c r="G68" s="65">
        <f t="shared" si="24"/>
        <v>12973004</v>
      </c>
      <c r="H68" s="91">
        <f t="shared" si="24"/>
        <v>14564004</v>
      </c>
      <c r="I68" s="10">
        <f t="shared" si="24"/>
        <v>15095004</v>
      </c>
      <c r="J68" s="10">
        <f t="shared" si="24"/>
        <v>10535715</v>
      </c>
      <c r="K68" s="10">
        <f t="shared" si="24"/>
        <v>7196429</v>
      </c>
      <c r="L68" s="10">
        <f t="shared" si="24"/>
        <v>3857143</v>
      </c>
      <c r="M68" s="36">
        <f t="shared" si="24"/>
        <v>2142858</v>
      </c>
      <c r="N68" s="10">
        <f>+N69+N63</f>
        <v>1428572</v>
      </c>
      <c r="O68" s="10">
        <f>+O69+O63</f>
        <v>714286</v>
      </c>
      <c r="P68" s="65">
        <f>+P69+P63</f>
        <v>0</v>
      </c>
      <c r="Q68" s="44">
        <f>+Q69+Q63</f>
        <v>0</v>
      </c>
      <c r="R68" s="65">
        <f>+R69+R63</f>
        <v>0</v>
      </c>
    </row>
    <row r="69" spans="1:18" s="13" customFormat="1" ht="15" hidden="1" outlineLevel="1">
      <c r="A69" s="118"/>
      <c r="B69" s="99" t="s">
        <v>17</v>
      </c>
      <c r="C69" s="11">
        <f>SUM(C70:C74)</f>
        <v>2425000</v>
      </c>
      <c r="D69" s="12">
        <f>SUM(D70:D74)</f>
        <v>6325000</v>
      </c>
      <c r="E69" s="37">
        <f aca="true" t="shared" si="25" ref="E69:M69">SUM(E70:E71,E74)</f>
        <v>10605004</v>
      </c>
      <c r="F69" s="12">
        <f t="shared" si="25"/>
        <v>8029007</v>
      </c>
      <c r="G69" s="66">
        <f t="shared" si="25"/>
        <v>12973004</v>
      </c>
      <c r="H69" s="122">
        <f t="shared" si="25"/>
        <v>14564004</v>
      </c>
      <c r="I69" s="12">
        <f t="shared" si="25"/>
        <v>15095004</v>
      </c>
      <c r="J69" s="12">
        <f t="shared" si="25"/>
        <v>10535715</v>
      </c>
      <c r="K69" s="12">
        <f t="shared" si="25"/>
        <v>7196429</v>
      </c>
      <c r="L69" s="12">
        <f t="shared" si="25"/>
        <v>3857143</v>
      </c>
      <c r="M69" s="37">
        <f t="shared" si="25"/>
        <v>2142858</v>
      </c>
      <c r="N69" s="12">
        <f>SUM(N70:N74)</f>
        <v>1428572</v>
      </c>
      <c r="O69" s="12">
        <f>SUM(O70:O74)</f>
        <v>714286</v>
      </c>
      <c r="P69" s="66">
        <f>SUM(P70:P74)</f>
        <v>0</v>
      </c>
      <c r="Q69" s="45">
        <f>SUM(Q70:Q74)</f>
        <v>0</v>
      </c>
      <c r="R69" s="66">
        <f>SUM(R70:R74)</f>
        <v>0</v>
      </c>
    </row>
    <row r="70" spans="1:18" s="13" customFormat="1" ht="15" hidden="1" outlineLevel="1">
      <c r="A70" s="119"/>
      <c r="B70" s="102" t="s">
        <v>5</v>
      </c>
      <c r="C70" s="11"/>
      <c r="D70" s="12"/>
      <c r="E70" s="37">
        <f>+E64</f>
        <v>1880000</v>
      </c>
      <c r="F70" s="12">
        <f>+E64-F41</f>
        <v>1404000</v>
      </c>
      <c r="G70" s="66">
        <f>+E64+G64-G41</f>
        <v>1848000</v>
      </c>
      <c r="H70" s="122">
        <f>+G70+H64-H41-H40</f>
        <v>1064000</v>
      </c>
      <c r="I70" s="12">
        <f aca="true" t="shared" si="26" ref="I70:R70">+H70-I40-I41</f>
        <v>220000</v>
      </c>
      <c r="J70" s="12">
        <f t="shared" si="26"/>
        <v>0</v>
      </c>
      <c r="K70" s="37">
        <f t="shared" si="26"/>
        <v>0</v>
      </c>
      <c r="L70" s="12">
        <f t="shared" si="26"/>
        <v>0</v>
      </c>
      <c r="M70" s="37">
        <f t="shared" si="26"/>
        <v>0</v>
      </c>
      <c r="N70" s="12">
        <f t="shared" si="26"/>
        <v>0</v>
      </c>
      <c r="O70" s="12">
        <f t="shared" si="26"/>
        <v>0</v>
      </c>
      <c r="P70" s="66">
        <f t="shared" si="26"/>
        <v>0</v>
      </c>
      <c r="Q70" s="45">
        <f t="shared" si="26"/>
        <v>0</v>
      </c>
      <c r="R70" s="66">
        <f t="shared" si="26"/>
        <v>0</v>
      </c>
    </row>
    <row r="71" spans="1:18" s="13" customFormat="1" ht="15" hidden="1" outlineLevel="1">
      <c r="A71" s="116"/>
      <c r="B71" s="102" t="s">
        <v>59</v>
      </c>
      <c r="C71" s="11">
        <v>1800000</v>
      </c>
      <c r="D71" s="12">
        <f>+C71+C65-D31</f>
        <v>3200000</v>
      </c>
      <c r="E71" s="37">
        <f>+D71+D65-E31</f>
        <v>5600004</v>
      </c>
      <c r="F71" s="37">
        <f>+E71+E65-F31</f>
        <v>3500007</v>
      </c>
      <c r="G71" s="66">
        <f>+E71+G65-G32-G33-G34</f>
        <v>8000004</v>
      </c>
      <c r="H71" s="122">
        <f aca="true" t="shared" si="27" ref="H71:M71">+G71+H65-SUM(H34:H39)</f>
        <v>11000004</v>
      </c>
      <c r="I71" s="12">
        <f t="shared" si="27"/>
        <v>13000004</v>
      </c>
      <c r="J71" s="12">
        <f t="shared" si="27"/>
        <v>9285715</v>
      </c>
      <c r="K71" s="12">
        <f t="shared" si="27"/>
        <v>6571429</v>
      </c>
      <c r="L71" s="12">
        <f t="shared" si="27"/>
        <v>3857143</v>
      </c>
      <c r="M71" s="37">
        <f t="shared" si="27"/>
        <v>2142858</v>
      </c>
      <c r="N71" s="12">
        <f>+M71+M65-SUM(N34:N39)</f>
        <v>1428572</v>
      </c>
      <c r="O71" s="12">
        <f>+N71+N65-SUM(O34:O39)</f>
        <v>714286</v>
      </c>
      <c r="P71" s="66">
        <f>+O71+O65-SUM(P34:P39)</f>
        <v>0</v>
      </c>
      <c r="Q71" s="45">
        <f>+P71+P65-SUM(Q34:Q39)</f>
        <v>0</v>
      </c>
      <c r="R71" s="66">
        <f>+Q71+Q65-SUM(R34:R39)</f>
        <v>0</v>
      </c>
    </row>
    <row r="72" spans="1:18" s="93" customFormat="1" ht="25.5" collapsed="1">
      <c r="A72" s="120" t="s">
        <v>97</v>
      </c>
      <c r="B72" s="104" t="s">
        <v>60</v>
      </c>
      <c r="C72" s="31"/>
      <c r="D72" s="32"/>
      <c r="E72" s="43"/>
      <c r="F72" s="32"/>
      <c r="G72" s="68"/>
      <c r="H72" s="128"/>
      <c r="I72" s="32"/>
      <c r="J72" s="32"/>
      <c r="K72" s="43"/>
      <c r="L72" s="32"/>
      <c r="M72" s="43"/>
      <c r="N72" s="32"/>
      <c r="O72" s="32"/>
      <c r="P72" s="68"/>
      <c r="Q72" s="51"/>
      <c r="R72" s="68"/>
    </row>
    <row r="73" spans="1:18" s="93" customFormat="1" ht="25.5">
      <c r="A73" s="120" t="s">
        <v>98</v>
      </c>
      <c r="B73" s="104" t="s">
        <v>61</v>
      </c>
      <c r="C73" s="31"/>
      <c r="D73" s="32"/>
      <c r="E73" s="43"/>
      <c r="F73" s="32"/>
      <c r="G73" s="68"/>
      <c r="H73" s="128"/>
      <c r="I73" s="32"/>
      <c r="J73" s="32"/>
      <c r="K73" s="43"/>
      <c r="L73" s="32"/>
      <c r="M73" s="43"/>
      <c r="N73" s="32"/>
      <c r="O73" s="32"/>
      <c r="P73" s="68"/>
      <c r="Q73" s="51"/>
      <c r="R73" s="68"/>
    </row>
    <row r="74" spans="1:18" s="13" customFormat="1" ht="15" hidden="1" outlineLevel="1">
      <c r="A74" s="119"/>
      <c r="B74" s="102" t="s">
        <v>6</v>
      </c>
      <c r="C74" s="11">
        <v>625000</v>
      </c>
      <c r="D74" s="12">
        <f>+C74+C66-D43</f>
        <v>3125000</v>
      </c>
      <c r="E74" s="37">
        <f>+D74+D66-E43</f>
        <v>3125000</v>
      </c>
      <c r="F74" s="12">
        <v>3125000</v>
      </c>
      <c r="G74" s="66">
        <v>3125000</v>
      </c>
      <c r="H74" s="122">
        <f>+F74-H43</f>
        <v>2500000</v>
      </c>
      <c r="I74" s="12">
        <f aca="true" t="shared" si="28" ref="I74:R74">+H74-I43</f>
        <v>1875000</v>
      </c>
      <c r="J74" s="12">
        <f t="shared" si="28"/>
        <v>1250000</v>
      </c>
      <c r="K74" s="37">
        <f t="shared" si="28"/>
        <v>625000</v>
      </c>
      <c r="L74" s="12">
        <f t="shared" si="28"/>
        <v>0</v>
      </c>
      <c r="M74" s="37">
        <f t="shared" si="28"/>
        <v>0</v>
      </c>
      <c r="N74" s="12">
        <f t="shared" si="28"/>
        <v>0</v>
      </c>
      <c r="O74" s="12">
        <f t="shared" si="28"/>
        <v>0</v>
      </c>
      <c r="P74" s="66">
        <f t="shared" si="28"/>
        <v>0</v>
      </c>
      <c r="Q74" s="45">
        <f t="shared" si="28"/>
        <v>0</v>
      </c>
      <c r="R74" s="66">
        <f t="shared" si="28"/>
        <v>0</v>
      </c>
    </row>
    <row r="75" spans="1:18" s="84" customFormat="1" ht="38.25" collapsed="1">
      <c r="A75" s="149">
        <v>14</v>
      </c>
      <c r="B75" s="98" t="s">
        <v>62</v>
      </c>
      <c r="C75" s="90"/>
      <c r="D75" s="90"/>
      <c r="E75" s="90"/>
      <c r="F75" s="90"/>
      <c r="G75" s="143"/>
      <c r="H75" s="172"/>
      <c r="I75" s="90"/>
      <c r="J75" s="90"/>
      <c r="K75" s="179"/>
      <c r="L75" s="90"/>
      <c r="M75" s="179"/>
      <c r="N75" s="90"/>
      <c r="O75" s="90"/>
      <c r="P75" s="143"/>
      <c r="Q75" s="136"/>
      <c r="R75" s="143"/>
    </row>
    <row r="76" spans="1:18" s="84" customFormat="1" ht="18.75">
      <c r="A76" s="149">
        <v>15</v>
      </c>
      <c r="B76" s="98" t="s">
        <v>99</v>
      </c>
      <c r="C76" s="9">
        <f>+C87+C45</f>
        <v>1732600</v>
      </c>
      <c r="D76" s="108">
        <f>+(D29+D21)/D8</f>
        <v>0.06436919838028896</v>
      </c>
      <c r="E76" s="167">
        <f aca="true" t="shared" si="29" ref="E76:R76">+(E29+E21)/E8</f>
        <v>0.06275274209914367</v>
      </c>
      <c r="F76" s="108">
        <f>+(F29+F21)/F8</f>
        <v>0.047862685475672975</v>
      </c>
      <c r="G76" s="144">
        <f t="shared" si="29"/>
        <v>0.07052856777243872</v>
      </c>
      <c r="H76" s="168">
        <f t="shared" si="29"/>
        <v>0.07955326833386545</v>
      </c>
      <c r="I76" s="108">
        <f t="shared" si="29"/>
        <v>0.10716829470014136</v>
      </c>
      <c r="J76" s="108">
        <f t="shared" si="29"/>
        <v>0.0958127060898664</v>
      </c>
      <c r="K76" s="167">
        <f t="shared" si="29"/>
        <v>0.06794140428433827</v>
      </c>
      <c r="L76" s="108">
        <f t="shared" si="29"/>
        <v>0.061723657374817026</v>
      </c>
      <c r="M76" s="167">
        <f t="shared" si="29"/>
        <v>0.03349138474645073</v>
      </c>
      <c r="N76" s="108">
        <f t="shared" si="29"/>
        <v>0.013411389071569146</v>
      </c>
      <c r="O76" s="108">
        <f t="shared" si="29"/>
        <v>0.011766170116290414</v>
      </c>
      <c r="P76" s="144">
        <f t="shared" si="29"/>
        <v>0.011439374615047232</v>
      </c>
      <c r="Q76" s="107">
        <f t="shared" si="29"/>
        <v>0.0003760799436445709</v>
      </c>
      <c r="R76" s="144">
        <f t="shared" si="29"/>
        <v>0.00036562135558640136</v>
      </c>
    </row>
    <row r="77" spans="1:18" s="83" customFormat="1" ht="18.75">
      <c r="A77" s="151" t="s">
        <v>35</v>
      </c>
      <c r="B77" s="99" t="s">
        <v>63</v>
      </c>
      <c r="C77" s="21">
        <f>+C68/C8*100</f>
        <v>20.89954893192599</v>
      </c>
      <c r="D77" s="58" t="s">
        <v>30</v>
      </c>
      <c r="E77" s="59" t="s">
        <v>30</v>
      </c>
      <c r="F77" s="33">
        <f>(1/3)*((C9+C15-C18)/C8+(D9+D15-D18)/D8+(E9+E15-E18)/E8)</f>
        <v>0.172638936727351</v>
      </c>
      <c r="G77" s="78">
        <f>(1/3)*((D9+D15-D18)/D8+(E9+E15-E18)/E8+(G9+G15-G18)/G8)</f>
        <v>0.1858228286635938</v>
      </c>
      <c r="H77" s="173">
        <f>+(D79+E79+F79)/3</f>
        <v>0.16968133830441465</v>
      </c>
      <c r="I77" s="33">
        <f>+(E79+F79+H79)/3</f>
        <v>0.12932712721304568</v>
      </c>
      <c r="J77" s="33">
        <f>+(G79+H79+I79)/3</f>
        <v>0.10889681341280828</v>
      </c>
      <c r="K77" s="180">
        <f aca="true" t="shared" si="30" ref="K77:R77">+(H79+I79+J79)/3</f>
        <v>0.06947274604346791</v>
      </c>
      <c r="L77" s="33">
        <f t="shared" si="30"/>
        <v>0.0869571730800856</v>
      </c>
      <c r="M77" s="180">
        <f t="shared" si="30"/>
        <v>0.11556766135682088</v>
      </c>
      <c r="N77" s="33">
        <f t="shared" si="30"/>
        <v>0.14838880414937186</v>
      </c>
      <c r="O77" s="33">
        <f t="shared" si="30"/>
        <v>0.16604245573525256</v>
      </c>
      <c r="P77" s="78">
        <f t="shared" si="30"/>
        <v>0.17605678835941863</v>
      </c>
      <c r="Q77" s="77">
        <f t="shared" si="30"/>
        <v>0.1733912631517778</v>
      </c>
      <c r="R77" s="78">
        <f t="shared" si="30"/>
        <v>0.16973514071801896</v>
      </c>
    </row>
    <row r="78" spans="1:18" s="83" customFormat="1" ht="25.5" hidden="1" outlineLevel="1">
      <c r="A78" s="230" t="s">
        <v>36</v>
      </c>
      <c r="B78" s="231" t="s">
        <v>169</v>
      </c>
      <c r="C78" s="232"/>
      <c r="D78" s="237">
        <f>+(D29+D21+D75)/D8</f>
        <v>0.06436919838028896</v>
      </c>
      <c r="E78" s="238">
        <f aca="true" t="shared" si="31" ref="E78:R78">+(E29+E21+E75)/E8</f>
        <v>0.06275274209914367</v>
      </c>
      <c r="F78" s="233">
        <f t="shared" si="31"/>
        <v>0.047862685475672975</v>
      </c>
      <c r="G78" s="234">
        <f t="shared" si="31"/>
        <v>0.07052856777243872</v>
      </c>
      <c r="H78" s="235">
        <f t="shared" si="31"/>
        <v>0.07955326833386545</v>
      </c>
      <c r="I78" s="233">
        <f t="shared" si="31"/>
        <v>0.10716829470014136</v>
      </c>
      <c r="J78" s="233">
        <f t="shared" si="31"/>
        <v>0.0958127060898664</v>
      </c>
      <c r="K78" s="236">
        <f t="shared" si="31"/>
        <v>0.06794140428433827</v>
      </c>
      <c r="L78" s="33">
        <f t="shared" si="31"/>
        <v>0.061723657374817026</v>
      </c>
      <c r="M78" s="180">
        <f t="shared" si="31"/>
        <v>0.03349138474645073</v>
      </c>
      <c r="N78" s="33">
        <f t="shared" si="31"/>
        <v>0.013411389071569146</v>
      </c>
      <c r="O78" s="33">
        <f t="shared" si="31"/>
        <v>0.011766170116290414</v>
      </c>
      <c r="P78" s="78">
        <f t="shared" si="31"/>
        <v>0.011439374615047232</v>
      </c>
      <c r="Q78" s="77">
        <f t="shared" si="31"/>
        <v>0.0003760799436445709</v>
      </c>
      <c r="R78" s="78">
        <f t="shared" si="31"/>
        <v>0.00036562135558640136</v>
      </c>
    </row>
    <row r="79" spans="1:18" s="83" customFormat="1" ht="25.5" hidden="1" outlineLevel="1">
      <c r="A79" s="230" t="s">
        <v>55</v>
      </c>
      <c r="B79" s="231" t="s">
        <v>170</v>
      </c>
      <c r="C79" s="232"/>
      <c r="D79" s="237">
        <f>+(D9-D83+D15)/D8</f>
        <v>0.19224300370326247</v>
      </c>
      <c r="E79" s="238">
        <f aca="true" t="shared" si="32" ref="E79:R79">+(E9-E83+E15)/E8</f>
        <v>0.13330144205846053</v>
      </c>
      <c r="F79" s="233">
        <f t="shared" si="32"/>
        <v>0.18349956915152085</v>
      </c>
      <c r="G79" s="234">
        <f t="shared" si="32"/>
        <v>0.19754870592247165</v>
      </c>
      <c r="H79" s="235">
        <f t="shared" si="32"/>
        <v>0.07118037042915565</v>
      </c>
      <c r="I79" s="233">
        <f t="shared" si="32"/>
        <v>0.05796136388679757</v>
      </c>
      <c r="J79" s="233">
        <f t="shared" si="32"/>
        <v>0.0792765038144505</v>
      </c>
      <c r="K79" s="236">
        <f t="shared" si="32"/>
        <v>0.12363365153900875</v>
      </c>
      <c r="L79" s="33">
        <f t="shared" si="32"/>
        <v>0.14379282871700336</v>
      </c>
      <c r="M79" s="180">
        <f t="shared" si="32"/>
        <v>0.17773993219210352</v>
      </c>
      <c r="N79" s="33">
        <f t="shared" si="32"/>
        <v>0.17659460629665083</v>
      </c>
      <c r="O79" s="33">
        <f t="shared" si="32"/>
        <v>0.17383582658950153</v>
      </c>
      <c r="P79" s="78">
        <f t="shared" si="32"/>
        <v>0.16974335656918102</v>
      </c>
      <c r="Q79" s="77">
        <f t="shared" si="32"/>
        <v>0.16562623899537435</v>
      </c>
      <c r="R79" s="78">
        <f t="shared" si="32"/>
        <v>0.16148398894785476</v>
      </c>
    </row>
    <row r="80" spans="1:18" s="109" customFormat="1" ht="25.5" collapsed="1">
      <c r="A80" s="159">
        <v>16</v>
      </c>
      <c r="B80" s="160" t="s">
        <v>105</v>
      </c>
      <c r="C80" s="161">
        <f>+C76/C8*100</f>
        <v>3.946654875144956</v>
      </c>
      <c r="D80" s="162" t="s">
        <v>30</v>
      </c>
      <c r="E80" s="163" t="s">
        <v>30</v>
      </c>
      <c r="F80" s="164" t="str">
        <f>IF(F76&lt;=F77,"Tak","Nie")</f>
        <v>Tak</v>
      </c>
      <c r="G80" s="165" t="str">
        <f aca="true" t="shared" si="33" ref="G80:R80">IF(G76&lt;=G77,"Tak","Nie")</f>
        <v>Tak</v>
      </c>
      <c r="H80" s="174" t="str">
        <f t="shared" si="33"/>
        <v>Tak</v>
      </c>
      <c r="I80" s="164" t="str">
        <f t="shared" si="33"/>
        <v>Tak</v>
      </c>
      <c r="J80" s="164" t="str">
        <f t="shared" si="33"/>
        <v>Tak</v>
      </c>
      <c r="K80" s="181" t="str">
        <f t="shared" si="33"/>
        <v>Tak</v>
      </c>
      <c r="L80" s="108" t="str">
        <f t="shared" si="33"/>
        <v>Tak</v>
      </c>
      <c r="M80" s="167" t="str">
        <f t="shared" si="33"/>
        <v>Tak</v>
      </c>
      <c r="N80" s="108" t="str">
        <f t="shared" si="33"/>
        <v>Tak</v>
      </c>
      <c r="O80" s="108" t="str">
        <f t="shared" si="33"/>
        <v>Tak</v>
      </c>
      <c r="P80" s="144" t="str">
        <f t="shared" si="33"/>
        <v>Tak</v>
      </c>
      <c r="Q80" s="107" t="str">
        <f t="shared" si="33"/>
        <v>Tak</v>
      </c>
      <c r="R80" s="144" t="str">
        <f t="shared" si="33"/>
        <v>Tak</v>
      </c>
    </row>
    <row r="81" spans="1:18" s="113" customFormat="1" ht="25.5">
      <c r="A81" s="149" t="s">
        <v>64</v>
      </c>
      <c r="B81" s="94" t="s">
        <v>104</v>
      </c>
      <c r="C81" s="9"/>
      <c r="D81" s="108">
        <f>(+D30+D21+D45-D22-D73)/D8</f>
        <v>0.06436919838028896</v>
      </c>
      <c r="E81" s="110">
        <f aca="true" t="shared" si="34" ref="E81:R81">(+E30+E21+E45-E22-E73)/E8</f>
        <v>0.06275274209914367</v>
      </c>
      <c r="F81" s="111">
        <f t="shared" si="34"/>
        <v>0.047862685475672975</v>
      </c>
      <c r="G81" s="145">
        <f t="shared" si="34"/>
        <v>0.07052856777243872</v>
      </c>
      <c r="H81" s="129">
        <f t="shared" si="34"/>
        <v>0.07955326833386545</v>
      </c>
      <c r="I81" s="111">
        <f t="shared" si="34"/>
        <v>0.10716829470014136</v>
      </c>
      <c r="J81" s="111">
        <f t="shared" si="34"/>
        <v>0.0958127060898664</v>
      </c>
      <c r="K81" s="182" t="s">
        <v>30</v>
      </c>
      <c r="L81" s="112" t="s">
        <v>30</v>
      </c>
      <c r="M81" s="245" t="s">
        <v>30</v>
      </c>
      <c r="N81" s="245" t="s">
        <v>30</v>
      </c>
      <c r="O81" s="245" t="s">
        <v>30</v>
      </c>
      <c r="P81" s="247" t="s">
        <v>30</v>
      </c>
      <c r="Q81" s="44">
        <f t="shared" si="34"/>
        <v>0.0003760799436445709</v>
      </c>
      <c r="R81" s="65">
        <f t="shared" si="34"/>
        <v>0.00036562135558640136</v>
      </c>
    </row>
    <row r="82" spans="1:18" s="113" customFormat="1" ht="25.5">
      <c r="A82" s="149" t="s">
        <v>65</v>
      </c>
      <c r="B82" s="94" t="s">
        <v>66</v>
      </c>
      <c r="C82" s="9"/>
      <c r="D82" s="108">
        <f>(+D68-D72)/D8</f>
        <v>0.21980151370169854</v>
      </c>
      <c r="E82" s="110">
        <f aca="true" t="shared" si="35" ref="E82:J82">+E68/E8</f>
        <v>0.2128070163961875</v>
      </c>
      <c r="F82" s="111">
        <f t="shared" si="35"/>
        <v>0.16797132510849874</v>
      </c>
      <c r="G82" s="145">
        <f t="shared" si="35"/>
        <v>0.22392740867012206</v>
      </c>
      <c r="H82" s="129">
        <f t="shared" si="35"/>
        <v>0.2538827232627651</v>
      </c>
      <c r="I82" s="111">
        <f t="shared" si="35"/>
        <v>0.2820641921125904</v>
      </c>
      <c r="J82" s="111">
        <f t="shared" si="35"/>
        <v>0.17574116789170047</v>
      </c>
      <c r="K82" s="182" t="s">
        <v>30</v>
      </c>
      <c r="L82" s="112" t="s">
        <v>30</v>
      </c>
      <c r="M82" s="245" t="s">
        <v>30</v>
      </c>
      <c r="N82" s="245" t="s">
        <v>30</v>
      </c>
      <c r="O82" s="245" t="s">
        <v>30</v>
      </c>
      <c r="P82" s="247" t="s">
        <v>30</v>
      </c>
      <c r="Q82" s="44"/>
      <c r="R82" s="65"/>
    </row>
    <row r="83" spans="1:18" s="113" customFormat="1" ht="15.75">
      <c r="A83" s="149" t="s">
        <v>68</v>
      </c>
      <c r="B83" s="94" t="s">
        <v>67</v>
      </c>
      <c r="C83" s="9"/>
      <c r="D83" s="121">
        <f>+D18+D45</f>
        <v>37763854</v>
      </c>
      <c r="E83" s="121">
        <f aca="true" t="shared" si="36" ref="E83:R83">+E18+E45</f>
        <v>42325971</v>
      </c>
      <c r="F83" s="121">
        <f t="shared" si="36"/>
        <v>38305189</v>
      </c>
      <c r="G83" s="146">
        <f>+G18+G45</f>
        <v>45689190</v>
      </c>
      <c r="H83" s="175">
        <f t="shared" si="36"/>
        <v>48170942</v>
      </c>
      <c r="I83" s="121">
        <f t="shared" si="36"/>
        <v>48581704</v>
      </c>
      <c r="J83" s="121">
        <f t="shared" si="36"/>
        <v>48697541.168</v>
      </c>
      <c r="K83" s="183">
        <f t="shared" si="36"/>
        <v>47472500</v>
      </c>
      <c r="L83" s="121">
        <f t="shared" si="36"/>
        <v>47658775</v>
      </c>
      <c r="M83" s="183">
        <f t="shared" si="36"/>
        <v>47839713</v>
      </c>
      <c r="N83" s="121">
        <f t="shared" si="36"/>
        <v>49300868</v>
      </c>
      <c r="O83" s="121">
        <f t="shared" si="36"/>
        <v>50909126</v>
      </c>
      <c r="P83" s="146">
        <f t="shared" si="36"/>
        <v>52656527</v>
      </c>
      <c r="Q83" s="137">
        <f t="shared" si="36"/>
        <v>54465186</v>
      </c>
      <c r="R83" s="146">
        <f t="shared" si="36"/>
        <v>56337293</v>
      </c>
    </row>
    <row r="84" spans="1:18" s="25" customFormat="1" ht="15.75">
      <c r="A84" s="114" t="s">
        <v>37</v>
      </c>
      <c r="B84" s="94" t="s">
        <v>38</v>
      </c>
      <c r="C84" s="9">
        <f>+C18+C60</f>
        <v>50016564</v>
      </c>
      <c r="D84" s="10">
        <f>+D60+D83</f>
        <v>48796682</v>
      </c>
      <c r="E84" s="10">
        <f aca="true" t="shared" si="37" ref="E84:R84">+E60+E83</f>
        <v>53975683</v>
      </c>
      <c r="F84" s="10">
        <f t="shared" si="37"/>
        <v>43978305</v>
      </c>
      <c r="G84" s="65">
        <f t="shared" si="37"/>
        <v>53412093</v>
      </c>
      <c r="H84" s="91">
        <f t="shared" si="37"/>
        <v>58956085</v>
      </c>
      <c r="I84" s="10">
        <f t="shared" si="37"/>
        <v>54047200.72</v>
      </c>
      <c r="J84" s="10">
        <f t="shared" si="37"/>
        <v>55390892.888</v>
      </c>
      <c r="K84" s="36">
        <f t="shared" si="37"/>
        <v>58247401.44</v>
      </c>
      <c r="L84" s="10">
        <f t="shared" si="37"/>
        <v>59915002.44</v>
      </c>
      <c r="M84" s="36">
        <f t="shared" si="37"/>
        <v>57682632</v>
      </c>
      <c r="N84" s="10">
        <f t="shared" si="37"/>
        <v>60374539</v>
      </c>
      <c r="O84" s="10">
        <f t="shared" si="37"/>
        <v>62117204</v>
      </c>
      <c r="P84" s="65">
        <f t="shared" si="37"/>
        <v>63912149</v>
      </c>
      <c r="Q84" s="44">
        <f t="shared" si="37"/>
        <v>66475228</v>
      </c>
      <c r="R84" s="65">
        <f t="shared" si="37"/>
        <v>68379484</v>
      </c>
    </row>
    <row r="85" spans="1:18" s="25" customFormat="1" ht="15.75">
      <c r="A85" s="149" t="s">
        <v>70</v>
      </c>
      <c r="B85" s="94" t="s">
        <v>71</v>
      </c>
      <c r="C85" s="10">
        <f>+C8-C84</f>
        <v>-6116095</v>
      </c>
      <c r="D85" s="10">
        <f>+D8-D84</f>
        <v>2727076</v>
      </c>
      <c r="E85" s="10">
        <f aca="true" t="shared" si="38" ref="E85:R85">+E8-E84</f>
        <v>-4141781</v>
      </c>
      <c r="F85" s="10">
        <f t="shared" si="38"/>
        <v>3821562</v>
      </c>
      <c r="G85" s="65">
        <f t="shared" si="38"/>
        <v>4521878</v>
      </c>
      <c r="H85" s="91">
        <f t="shared" si="38"/>
        <v>-1591000</v>
      </c>
      <c r="I85" s="10">
        <f t="shared" si="38"/>
        <v>-530999.7199999988</v>
      </c>
      <c r="J85" s="10">
        <f t="shared" si="38"/>
        <v>4559289.112000003</v>
      </c>
      <c r="K85" s="36">
        <f t="shared" si="38"/>
        <v>3339285.5600000024</v>
      </c>
      <c r="L85" s="10">
        <f t="shared" si="38"/>
        <v>3339285.5600000024</v>
      </c>
      <c r="M85" s="36">
        <f t="shared" si="38"/>
        <v>1714285</v>
      </c>
      <c r="N85" s="10">
        <f t="shared" si="38"/>
        <v>714286</v>
      </c>
      <c r="O85" s="10">
        <f t="shared" si="38"/>
        <v>714286</v>
      </c>
      <c r="P85" s="65">
        <f t="shared" si="38"/>
        <v>714286</v>
      </c>
      <c r="Q85" s="44">
        <f t="shared" si="38"/>
        <v>0</v>
      </c>
      <c r="R85" s="65">
        <f t="shared" si="38"/>
        <v>1</v>
      </c>
    </row>
    <row r="86" spans="1:18" s="25" customFormat="1" ht="15.75">
      <c r="A86" s="114" t="s">
        <v>72</v>
      </c>
      <c r="B86" s="94" t="s">
        <v>100</v>
      </c>
      <c r="C86" s="11"/>
      <c r="D86" s="10">
        <f>+D25+D27+D63</f>
        <v>6042052</v>
      </c>
      <c r="E86" s="10">
        <f aca="true" t="shared" si="39" ref="E86:R86">+E25+E27+E63</f>
        <v>7797962</v>
      </c>
      <c r="F86" s="10">
        <f t="shared" si="39"/>
        <v>3056185</v>
      </c>
      <c r="G86" s="65">
        <f>+G25+G27+G63</f>
        <v>6656185</v>
      </c>
      <c r="H86" s="91">
        <f t="shared" si="39"/>
        <v>5067900</v>
      </c>
      <c r="I86" s="10">
        <f t="shared" si="39"/>
        <v>5000000</v>
      </c>
      <c r="J86" s="10">
        <f t="shared" si="39"/>
        <v>0</v>
      </c>
      <c r="K86" s="36">
        <f t="shared" si="39"/>
        <v>0</v>
      </c>
      <c r="L86" s="10">
        <f t="shared" si="39"/>
        <v>0</v>
      </c>
      <c r="M86" s="36">
        <f t="shared" si="39"/>
        <v>0</v>
      </c>
      <c r="N86" s="10">
        <f t="shared" si="39"/>
        <v>0</v>
      </c>
      <c r="O86" s="10">
        <f t="shared" si="39"/>
        <v>0</v>
      </c>
      <c r="P86" s="65">
        <f t="shared" si="39"/>
        <v>0</v>
      </c>
      <c r="Q86" s="44">
        <f t="shared" si="39"/>
        <v>0</v>
      </c>
      <c r="R86" s="65">
        <f t="shared" si="39"/>
        <v>0</v>
      </c>
    </row>
    <row r="87" spans="1:18" s="6" customFormat="1" ht="16.5" thickBot="1">
      <c r="A87" s="153" t="s">
        <v>69</v>
      </c>
      <c r="B87" s="106" t="s">
        <v>101</v>
      </c>
      <c r="C87" s="154">
        <f>SUM(C31:C44)</f>
        <v>1545000</v>
      </c>
      <c r="D87" s="155">
        <f>+D30+D58</f>
        <v>2850000</v>
      </c>
      <c r="E87" s="155">
        <f aca="true" t="shared" si="40" ref="E87:R87">+E30+E58</f>
        <v>2599996</v>
      </c>
      <c r="F87" s="155">
        <f t="shared" si="40"/>
        <v>2099997</v>
      </c>
      <c r="G87" s="156">
        <f>+G30+G58</f>
        <v>3232000</v>
      </c>
      <c r="H87" s="157">
        <f t="shared" si="40"/>
        <v>3476900</v>
      </c>
      <c r="I87" s="155">
        <f t="shared" si="40"/>
        <v>4469000</v>
      </c>
      <c r="J87" s="155">
        <f t="shared" si="40"/>
        <v>4559289</v>
      </c>
      <c r="K87" s="184">
        <f t="shared" si="40"/>
        <v>3339286</v>
      </c>
      <c r="L87" s="155">
        <f t="shared" si="40"/>
        <v>3339286</v>
      </c>
      <c r="M87" s="184">
        <f t="shared" si="40"/>
        <v>1714285</v>
      </c>
      <c r="N87" s="155">
        <f t="shared" si="40"/>
        <v>714286</v>
      </c>
      <c r="O87" s="155">
        <f t="shared" si="40"/>
        <v>714286</v>
      </c>
      <c r="P87" s="156">
        <f t="shared" si="40"/>
        <v>714286</v>
      </c>
      <c r="Q87" s="157">
        <f t="shared" si="40"/>
        <v>0</v>
      </c>
      <c r="R87" s="156">
        <f t="shared" si="40"/>
        <v>1</v>
      </c>
    </row>
    <row r="89" spans="1:17" s="13" customFormat="1" ht="15.75">
      <c r="A89" s="54"/>
      <c r="B89" s="105"/>
      <c r="C89" s="56"/>
      <c r="D89" s="56"/>
      <c r="E89" s="56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8" s="13" customFormat="1" ht="30" customHeight="1">
      <c r="A90" s="54"/>
      <c r="B90" s="55"/>
      <c r="C90" s="56"/>
      <c r="D90" s="158">
        <f>+D85+D86-D87</f>
        <v>5919128</v>
      </c>
      <c r="E90" s="158">
        <f>+E85+E86-E87</f>
        <v>1056185</v>
      </c>
      <c r="F90" s="158">
        <f aca="true" t="shared" si="41" ref="F90:R90">+F85+F86-F87</f>
        <v>4777750</v>
      </c>
      <c r="G90" s="158">
        <f t="shared" si="41"/>
        <v>7946063</v>
      </c>
      <c r="H90" s="158">
        <f t="shared" si="41"/>
        <v>0</v>
      </c>
      <c r="I90" s="158">
        <f t="shared" si="41"/>
        <v>0.2800000011920929</v>
      </c>
      <c r="J90" s="158">
        <f t="shared" si="41"/>
        <v>0.1120000034570694</v>
      </c>
      <c r="K90" s="158">
        <f t="shared" si="41"/>
        <v>-0.4399999976158142</v>
      </c>
      <c r="L90" s="158">
        <f t="shared" si="41"/>
        <v>-0.4399999976158142</v>
      </c>
      <c r="M90" s="158">
        <f t="shared" si="41"/>
        <v>0</v>
      </c>
      <c r="N90" s="158">
        <f t="shared" si="41"/>
        <v>0</v>
      </c>
      <c r="O90" s="158">
        <f t="shared" si="41"/>
        <v>0</v>
      </c>
      <c r="P90" s="158">
        <f t="shared" si="41"/>
        <v>0</v>
      </c>
      <c r="Q90" s="158">
        <f t="shared" si="41"/>
        <v>0</v>
      </c>
      <c r="R90" s="158">
        <f t="shared" si="41"/>
        <v>0</v>
      </c>
    </row>
    <row r="91" spans="1:17" s="13" customFormat="1" ht="30" customHeight="1">
      <c r="A91" s="54"/>
      <c r="B91" s="55"/>
      <c r="C91" s="56"/>
      <c r="D91" s="56"/>
      <c r="E91" s="56"/>
      <c r="F91" s="60"/>
      <c r="G91" s="60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s="13" customFormat="1" ht="30" customHeight="1">
      <c r="A92" s="54"/>
      <c r="B92" s="55"/>
      <c r="C92" s="56"/>
      <c r="D92" s="56"/>
      <c r="E92" s="56"/>
      <c r="F92" s="60"/>
      <c r="G92" s="60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s="13" customFormat="1" ht="30" customHeight="1">
      <c r="A93" s="54"/>
      <c r="B93" s="55"/>
      <c r="C93" s="56"/>
      <c r="D93" s="56"/>
      <c r="E93" s="56"/>
      <c r="F93" s="60"/>
      <c r="G93" s="60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s="13" customFormat="1" ht="30" customHeight="1">
      <c r="A94" s="54"/>
      <c r="B94" s="55"/>
      <c r="C94" s="56"/>
      <c r="D94" s="56"/>
      <c r="E94" s="56"/>
      <c r="F94" s="60"/>
      <c r="G94" s="60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s="13" customFormat="1" ht="30" customHeight="1">
      <c r="A95" s="54"/>
      <c r="B95" s="55"/>
      <c r="C95" s="56"/>
      <c r="D95" s="56"/>
      <c r="E95" s="56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s="13" customFormat="1" ht="30" customHeight="1">
      <c r="A96" s="54"/>
      <c r="B96" s="55"/>
      <c r="C96" s="56"/>
      <c r="D96" s="56"/>
      <c r="E96" s="56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s="13" customFormat="1" ht="30" customHeight="1">
      <c r="A97" s="54"/>
      <c r="B97" s="55"/>
      <c r="C97" s="56"/>
      <c r="D97" s="56"/>
      <c r="E97" s="56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s="13" customFormat="1" ht="30" customHeight="1">
      <c r="A98" s="54"/>
      <c r="B98" s="55"/>
      <c r="C98" s="56"/>
      <c r="D98" s="56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s="13" customFormat="1" ht="30" customHeight="1">
      <c r="A99" s="54"/>
      <c r="B99" s="55"/>
      <c r="C99" s="56"/>
      <c r="D99" s="56"/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6:17" ht="18.75">
      <c r="F100" s="26">
        <f>+F8-F84+F63-F87</f>
        <v>3721565</v>
      </c>
      <c r="G100" s="26"/>
      <c r="H100" s="26">
        <f aca="true" t="shared" si="42" ref="H100:Q100">+H8-H84+H63-H87</f>
        <v>0</v>
      </c>
      <c r="I100" s="26">
        <f t="shared" si="42"/>
        <v>0.2800000011920929</v>
      </c>
      <c r="J100" s="26">
        <f t="shared" si="42"/>
        <v>0.1120000034570694</v>
      </c>
      <c r="K100" s="26">
        <f t="shared" si="42"/>
        <v>-0.4399999976158142</v>
      </c>
      <c r="L100" s="26">
        <f t="shared" si="42"/>
        <v>-0.4399999976158142</v>
      </c>
      <c r="M100" s="26">
        <f t="shared" si="42"/>
        <v>0</v>
      </c>
      <c r="N100" s="26">
        <f t="shared" si="42"/>
        <v>0</v>
      </c>
      <c r="O100" s="26">
        <f t="shared" si="42"/>
        <v>0</v>
      </c>
      <c r="P100" s="26">
        <f t="shared" si="42"/>
        <v>0</v>
      </c>
      <c r="Q100" s="26">
        <f t="shared" si="42"/>
        <v>0</v>
      </c>
    </row>
    <row r="101" spans="8:12" ht="18.75">
      <c r="H101" s="26">
        <f>+F68-H87</f>
        <v>4552107</v>
      </c>
      <c r="I101" s="26">
        <f>+H68-I87</f>
        <v>10095004</v>
      </c>
      <c r="J101" s="26">
        <f>+I68-J87</f>
        <v>10535715</v>
      </c>
      <c r="K101" s="26">
        <f>+J68-K87</f>
        <v>7196429</v>
      </c>
      <c r="L101" s="26">
        <f>+K68-L87</f>
        <v>3857143</v>
      </c>
    </row>
    <row r="102" ht="18.75">
      <c r="C102" s="27"/>
    </row>
    <row r="103" spans="2:12" ht="18.75">
      <c r="B103" s="5"/>
      <c r="C103" s="27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ht="18.75">
      <c r="B104" s="5" t="s">
        <v>26</v>
      </c>
      <c r="C104" s="27"/>
      <c r="D104" s="26">
        <v>51523758</v>
      </c>
      <c r="E104" s="26">
        <v>49833902</v>
      </c>
      <c r="F104" s="26">
        <v>54427991</v>
      </c>
      <c r="G104" s="26"/>
      <c r="H104" s="26">
        <v>54691780</v>
      </c>
      <c r="I104" s="26">
        <v>55091530</v>
      </c>
      <c r="J104" s="26">
        <v>55518280</v>
      </c>
      <c r="K104" s="26">
        <v>55772830</v>
      </c>
      <c r="L104" s="26">
        <v>55956010</v>
      </c>
    </row>
    <row r="105" spans="2:12" ht="18.75">
      <c r="B105" s="53" t="s">
        <v>27</v>
      </c>
      <c r="C105" s="53"/>
      <c r="D105" s="34">
        <f>+D104-D8</f>
        <v>0</v>
      </c>
      <c r="E105" s="34">
        <f>+E104-E8</f>
        <v>0</v>
      </c>
      <c r="F105" s="34">
        <f>+F104-F8</f>
        <v>6628124</v>
      </c>
      <c r="G105" s="34"/>
      <c r="H105" s="34">
        <f>+H104-H8</f>
        <v>-2673305</v>
      </c>
      <c r="I105" s="34">
        <f>+I104-I8</f>
        <v>1575329</v>
      </c>
      <c r="J105" s="34">
        <f>+J104-J8</f>
        <v>-4431902</v>
      </c>
      <c r="K105" s="34">
        <f>+K104-K8</f>
        <v>-5813857</v>
      </c>
      <c r="L105" s="34">
        <f>+L104-L8</f>
        <v>-7298278</v>
      </c>
    </row>
    <row r="107" spans="2:12" ht="18.75">
      <c r="B107" t="s">
        <v>28</v>
      </c>
      <c r="F107">
        <v>57687891</v>
      </c>
      <c r="H107">
        <v>51042780</v>
      </c>
      <c r="I107">
        <v>51442530</v>
      </c>
      <c r="J107">
        <v>52493280</v>
      </c>
      <c r="K107">
        <v>54147830</v>
      </c>
      <c r="L107">
        <v>54331010</v>
      </c>
    </row>
    <row r="108" spans="2:12" ht="18.75">
      <c r="B108" s="53" t="s">
        <v>29</v>
      </c>
      <c r="C108" s="53"/>
      <c r="D108" s="53"/>
      <c r="E108" s="53"/>
      <c r="F108" s="34">
        <f aca="true" t="shared" si="43" ref="F108:L108">+F107-F84</f>
        <v>13709586</v>
      </c>
      <c r="G108" s="34"/>
      <c r="H108" s="34">
        <f t="shared" si="43"/>
        <v>-7913305</v>
      </c>
      <c r="I108" s="34">
        <f t="shared" si="43"/>
        <v>-2604670.719999999</v>
      </c>
      <c r="J108" s="34">
        <f t="shared" si="43"/>
        <v>-2897612.8879999965</v>
      </c>
      <c r="K108" s="34">
        <f t="shared" si="43"/>
        <v>-4099571.4399999976</v>
      </c>
      <c r="L108" s="34">
        <f t="shared" si="43"/>
        <v>-5583992.439999998</v>
      </c>
    </row>
  </sheetData>
  <mergeCells count="5">
    <mergeCell ref="A3:J3"/>
    <mergeCell ref="A6:A7"/>
    <mergeCell ref="B6:B7"/>
    <mergeCell ref="C6:C7"/>
    <mergeCell ref="D6:E6"/>
  </mergeCells>
  <printOptions horizontalCentered="1"/>
  <pageMargins left="0.1968503937007874" right="0.1968503937007874" top="0.2362204724409449" bottom="0.3937007874015748" header="0.15748031496062992" footer="0.15748031496062992"/>
  <pageSetup fitToHeight="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view="pageBreakPreview" zoomScaleSheetLayoutView="100" workbookViewId="0" topLeftCell="A1">
      <selection activeCell="L4" sqref="L4"/>
    </sheetView>
  </sheetViews>
  <sheetFormatPr defaultColWidth="8.88671875" defaultRowHeight="18.75"/>
  <cols>
    <col min="1" max="1" width="28.99609375" style="13" customWidth="1"/>
    <col min="2" max="2" width="12.10546875" style="13" customWidth="1"/>
    <col min="3" max="3" width="7.5546875" style="13" customWidth="1"/>
    <col min="4" max="4" width="7.21484375" style="13" customWidth="1"/>
    <col min="5" max="6" width="6.4453125" style="13" customWidth="1"/>
    <col min="7" max="7" width="9.5546875" style="22" customWidth="1"/>
    <col min="8" max="8" width="10.3359375" style="13" customWidth="1"/>
    <col min="9" max="12" width="7.88671875" style="13" bestFit="1" customWidth="1"/>
    <col min="13" max="13" width="7.88671875" style="13" customWidth="1"/>
    <col min="14" max="14" width="7.88671875" style="13" bestFit="1" customWidth="1"/>
    <col min="15" max="15" width="9.6640625" style="13" customWidth="1"/>
    <col min="16" max="20" width="8.88671875" style="13" customWidth="1"/>
    <col min="21" max="21" width="8.6640625" style="13" customWidth="1"/>
    <col min="22" max="16384" width="8.88671875" style="13" customWidth="1"/>
  </cols>
  <sheetData>
    <row r="1" ht="15.75">
      <c r="L1" s="242" t="s">
        <v>177</v>
      </c>
    </row>
    <row r="2" ht="15.75">
      <c r="L2" s="242" t="s">
        <v>203</v>
      </c>
    </row>
    <row r="3" ht="15.75">
      <c r="L3" s="242" t="s">
        <v>175</v>
      </c>
    </row>
    <row r="4" spans="3:12" ht="18">
      <c r="C4" s="241" t="s">
        <v>176</v>
      </c>
      <c r="L4" s="242" t="s">
        <v>205</v>
      </c>
    </row>
    <row r="5" spans="1:15" ht="13.5" thickBot="1">
      <c r="A5" s="132"/>
      <c r="B5" s="133"/>
      <c r="C5" s="133"/>
      <c r="D5" s="133"/>
      <c r="E5" s="133"/>
      <c r="F5" s="133"/>
      <c r="G5" s="185"/>
      <c r="H5" s="133"/>
      <c r="I5" s="133"/>
      <c r="J5" s="133"/>
      <c r="K5" s="133"/>
      <c r="L5" s="133"/>
      <c r="M5" s="133"/>
      <c r="N5" s="133"/>
      <c r="O5" s="133"/>
    </row>
    <row r="6" spans="1:21" ht="25.5" customHeight="1">
      <c r="A6" s="279" t="s">
        <v>106</v>
      </c>
      <c r="B6" s="279" t="s">
        <v>107</v>
      </c>
      <c r="C6" s="279" t="s">
        <v>108</v>
      </c>
      <c r="D6" s="279"/>
      <c r="E6" s="279" t="s">
        <v>109</v>
      </c>
      <c r="F6" s="279"/>
      <c r="G6" s="279" t="s">
        <v>110</v>
      </c>
      <c r="H6" s="279" t="s">
        <v>111</v>
      </c>
      <c r="I6" s="279" t="s">
        <v>112</v>
      </c>
      <c r="J6" s="279"/>
      <c r="K6" s="279"/>
      <c r="L6" s="279"/>
      <c r="M6" s="279"/>
      <c r="N6" s="279"/>
      <c r="O6" s="279" t="s">
        <v>113</v>
      </c>
      <c r="P6" s="276" t="s">
        <v>114</v>
      </c>
      <c r="Q6" s="277"/>
      <c r="R6" s="277"/>
      <c r="S6" s="277"/>
      <c r="T6" s="277"/>
      <c r="U6" s="280" t="s">
        <v>115</v>
      </c>
    </row>
    <row r="7" spans="1:21" ht="28.5" customHeight="1">
      <c r="A7" s="279"/>
      <c r="B7" s="279"/>
      <c r="C7" s="279" t="s">
        <v>116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8"/>
      <c r="Q7" s="279"/>
      <c r="R7" s="279"/>
      <c r="S7" s="279"/>
      <c r="T7" s="279"/>
      <c r="U7" s="281"/>
    </row>
    <row r="8" spans="1:21" ht="12.75">
      <c r="A8" s="186"/>
      <c r="B8" s="186"/>
      <c r="C8" s="186" t="s">
        <v>117</v>
      </c>
      <c r="D8" s="186" t="s">
        <v>118</v>
      </c>
      <c r="E8" s="186" t="s">
        <v>119</v>
      </c>
      <c r="F8" s="186" t="s">
        <v>120</v>
      </c>
      <c r="G8" s="186"/>
      <c r="H8" s="186"/>
      <c r="I8" s="186">
        <v>2011</v>
      </c>
      <c r="J8" s="186">
        <v>2012</v>
      </c>
      <c r="K8" s="186">
        <v>2013</v>
      </c>
      <c r="L8" s="186">
        <v>2014</v>
      </c>
      <c r="M8" s="186">
        <v>2015</v>
      </c>
      <c r="N8" s="186">
        <v>2016</v>
      </c>
      <c r="O8" s="186"/>
      <c r="P8" s="187">
        <v>2011</v>
      </c>
      <c r="Q8" s="186">
        <v>2012</v>
      </c>
      <c r="R8" s="186">
        <v>2013</v>
      </c>
      <c r="S8" s="186">
        <v>2014</v>
      </c>
      <c r="T8" s="186" t="s">
        <v>121</v>
      </c>
      <c r="U8" s="188"/>
    </row>
    <row r="9" spans="1:21" s="226" customFormat="1" ht="11.2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  <c r="G9" s="206">
        <v>7</v>
      </c>
      <c r="H9" s="206">
        <v>8</v>
      </c>
      <c r="I9" s="206">
        <v>9</v>
      </c>
      <c r="J9" s="206">
        <v>10</v>
      </c>
      <c r="K9" s="206">
        <v>11</v>
      </c>
      <c r="L9" s="206">
        <v>12</v>
      </c>
      <c r="M9" s="206"/>
      <c r="N9" s="206">
        <v>13</v>
      </c>
      <c r="O9" s="206">
        <v>14</v>
      </c>
      <c r="P9" s="223"/>
      <c r="Q9" s="224"/>
      <c r="R9" s="224"/>
      <c r="S9" s="224"/>
      <c r="T9" s="224"/>
      <c r="U9" s="225">
        <f aca="true" t="shared" si="0" ref="U9:U17">SUM(P9:T9)</f>
        <v>0</v>
      </c>
    </row>
    <row r="10" spans="1:21" s="93" customFormat="1" ht="12.7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07"/>
      <c r="Q10" s="208"/>
      <c r="R10" s="208"/>
      <c r="S10" s="208"/>
      <c r="T10" s="208"/>
      <c r="U10" s="209"/>
    </row>
    <row r="11" spans="1:21" ht="12.75">
      <c r="A11" s="282" t="s">
        <v>122</v>
      </c>
      <c r="B11" s="282"/>
      <c r="C11" s="282"/>
      <c r="D11" s="282"/>
      <c r="E11" s="282"/>
      <c r="F11" s="282"/>
      <c r="G11" s="191">
        <f>+G13+G35</f>
        <v>64695433.71</v>
      </c>
      <c r="H11" s="191">
        <f aca="true" t="shared" si="1" ref="H11:O11">+H13+H35</f>
        <v>7915487.67</v>
      </c>
      <c r="I11" s="191">
        <f t="shared" si="1"/>
        <v>9739911.719999999</v>
      </c>
      <c r="J11" s="191">
        <f t="shared" si="1"/>
        <v>7030411.72</v>
      </c>
      <c r="K11" s="191">
        <f t="shared" si="1"/>
        <v>8009201.72</v>
      </c>
      <c r="L11" s="191">
        <f t="shared" si="1"/>
        <v>10755210.44</v>
      </c>
      <c r="M11" s="191">
        <f t="shared" si="1"/>
        <v>12245210.44</v>
      </c>
      <c r="N11" s="191">
        <f t="shared" si="1"/>
        <v>9000000</v>
      </c>
      <c r="O11" s="191">
        <f t="shared" si="1"/>
        <v>56779946.04</v>
      </c>
      <c r="P11" s="210"/>
      <c r="Q11" s="204"/>
      <c r="R11" s="204"/>
      <c r="S11" s="204"/>
      <c r="T11" s="204"/>
      <c r="U11" s="211">
        <f t="shared" si="0"/>
        <v>0</v>
      </c>
    </row>
    <row r="12" spans="1:21" ht="12.75">
      <c r="A12" s="190"/>
      <c r="B12" s="217"/>
      <c r="C12" s="218"/>
      <c r="D12" s="218"/>
      <c r="E12" s="218"/>
      <c r="F12" s="219"/>
      <c r="G12" s="191"/>
      <c r="H12" s="192"/>
      <c r="I12" s="192"/>
      <c r="J12" s="192"/>
      <c r="K12" s="192"/>
      <c r="L12" s="192"/>
      <c r="M12" s="192"/>
      <c r="N12" s="192"/>
      <c r="O12" s="192"/>
      <c r="P12" s="210"/>
      <c r="Q12" s="204"/>
      <c r="R12" s="204"/>
      <c r="S12" s="204"/>
      <c r="T12" s="204"/>
      <c r="U12" s="211"/>
    </row>
    <row r="13" spans="1:21" s="215" customFormat="1" ht="12.75">
      <c r="A13" s="283" t="s">
        <v>123</v>
      </c>
      <c r="B13" s="283"/>
      <c r="C13" s="283"/>
      <c r="D13" s="283"/>
      <c r="E13" s="283"/>
      <c r="F13" s="283"/>
      <c r="G13" s="193">
        <f aca="true" t="shared" si="2" ref="G13:L13">+G15+G26+G31</f>
        <v>5043960</v>
      </c>
      <c r="H13" s="193">
        <f t="shared" si="2"/>
        <v>262180</v>
      </c>
      <c r="I13" s="193">
        <f t="shared" si="2"/>
        <v>1828070</v>
      </c>
      <c r="J13" s="193">
        <f t="shared" si="2"/>
        <v>1606710</v>
      </c>
      <c r="K13" s="193">
        <f t="shared" si="2"/>
        <v>1347000</v>
      </c>
      <c r="L13" s="193">
        <f t="shared" si="2"/>
        <v>0</v>
      </c>
      <c r="M13" s="193"/>
      <c r="N13" s="193">
        <f>+N15+N26+N31</f>
        <v>0</v>
      </c>
      <c r="O13" s="192">
        <f aca="true" t="shared" si="3" ref="O13:O25">SUM(I13:N13)</f>
        <v>4781780</v>
      </c>
      <c r="P13" s="212"/>
      <c r="Q13" s="213"/>
      <c r="R13" s="213"/>
      <c r="S13" s="213"/>
      <c r="T13" s="213"/>
      <c r="U13" s="214">
        <f t="shared" si="0"/>
        <v>0</v>
      </c>
    </row>
    <row r="14" spans="1:21" s="215" customFormat="1" ht="12.75">
      <c r="A14" s="227" t="s">
        <v>167</v>
      </c>
      <c r="B14" s="228"/>
      <c r="C14" s="228"/>
      <c r="D14" s="228"/>
      <c r="E14" s="228"/>
      <c r="F14" s="229"/>
      <c r="G14" s="193"/>
      <c r="H14" s="193"/>
      <c r="I14" s="193"/>
      <c r="J14" s="193"/>
      <c r="K14" s="193"/>
      <c r="L14" s="193"/>
      <c r="M14" s="193"/>
      <c r="N14" s="193"/>
      <c r="O14" s="192"/>
      <c r="P14" s="212"/>
      <c r="Q14" s="213"/>
      <c r="R14" s="213"/>
      <c r="S14" s="213"/>
      <c r="T14" s="213"/>
      <c r="U14" s="214"/>
    </row>
    <row r="15" spans="1:21" ht="12.75">
      <c r="A15" s="282" t="s">
        <v>124</v>
      </c>
      <c r="B15" s="282"/>
      <c r="C15" s="282"/>
      <c r="D15" s="282"/>
      <c r="E15" s="282"/>
      <c r="F15" s="282"/>
      <c r="G15" s="191">
        <f aca="true" t="shared" si="4" ref="G15:L15">+G16+G20+G23</f>
        <v>1209460</v>
      </c>
      <c r="H15" s="191">
        <f t="shared" si="4"/>
        <v>262180</v>
      </c>
      <c r="I15" s="191">
        <f t="shared" si="4"/>
        <v>607570</v>
      </c>
      <c r="J15" s="191">
        <f t="shared" si="4"/>
        <v>339710</v>
      </c>
      <c r="K15" s="191">
        <f t="shared" si="4"/>
        <v>0</v>
      </c>
      <c r="L15" s="191">
        <f t="shared" si="4"/>
        <v>0</v>
      </c>
      <c r="M15" s="191"/>
      <c r="N15" s="191">
        <f>+N16+N20+N23</f>
        <v>0</v>
      </c>
      <c r="O15" s="192">
        <f t="shared" si="3"/>
        <v>947280</v>
      </c>
      <c r="P15" s="210"/>
      <c r="Q15" s="204"/>
      <c r="R15" s="204"/>
      <c r="S15" s="204"/>
      <c r="T15" s="204"/>
      <c r="U15" s="211">
        <f t="shared" si="0"/>
        <v>0</v>
      </c>
    </row>
    <row r="16" spans="1:21" ht="28.5" customHeight="1">
      <c r="A16" s="284" t="s">
        <v>125</v>
      </c>
      <c r="B16" s="284"/>
      <c r="C16" s="284"/>
      <c r="D16" s="284"/>
      <c r="E16" s="284"/>
      <c r="F16" s="284"/>
      <c r="G16" s="191">
        <f>SUM(H16:N16)</f>
        <v>1209460</v>
      </c>
      <c r="H16" s="192">
        <f aca="true" t="shared" si="5" ref="H16:O17">+H17</f>
        <v>262180</v>
      </c>
      <c r="I16" s="192">
        <f t="shared" si="5"/>
        <v>607570</v>
      </c>
      <c r="J16" s="192">
        <f t="shared" si="5"/>
        <v>339710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2">
        <f t="shared" si="5"/>
        <v>0</v>
      </c>
      <c r="O16" s="192">
        <f t="shared" si="3"/>
        <v>947280</v>
      </c>
      <c r="P16" s="210"/>
      <c r="Q16" s="204"/>
      <c r="R16" s="204"/>
      <c r="S16" s="204"/>
      <c r="T16" s="204"/>
      <c r="U16" s="211">
        <f t="shared" si="0"/>
        <v>0</v>
      </c>
    </row>
    <row r="17" spans="1:21" ht="11.25" customHeight="1">
      <c r="A17" s="189" t="s">
        <v>126</v>
      </c>
      <c r="B17" s="194"/>
      <c r="C17" s="194"/>
      <c r="D17" s="194"/>
      <c r="E17" s="285"/>
      <c r="F17" s="285"/>
      <c r="G17" s="191">
        <f>+G18</f>
        <v>1209460</v>
      </c>
      <c r="H17" s="192">
        <f>+H18</f>
        <v>262180</v>
      </c>
      <c r="I17" s="192">
        <f t="shared" si="5"/>
        <v>607570</v>
      </c>
      <c r="J17" s="192">
        <f t="shared" si="5"/>
        <v>339710</v>
      </c>
      <c r="K17" s="192">
        <f t="shared" si="5"/>
        <v>0</v>
      </c>
      <c r="L17" s="192">
        <f t="shared" si="5"/>
        <v>0</v>
      </c>
      <c r="M17" s="192">
        <f t="shared" si="5"/>
        <v>0</v>
      </c>
      <c r="N17" s="192">
        <f t="shared" si="5"/>
        <v>0</v>
      </c>
      <c r="O17" s="192">
        <f t="shared" si="5"/>
        <v>947280</v>
      </c>
      <c r="P17" s="210"/>
      <c r="Q17" s="204"/>
      <c r="R17" s="204"/>
      <c r="S17" s="204"/>
      <c r="T17" s="204"/>
      <c r="U17" s="211">
        <f t="shared" si="0"/>
        <v>0</v>
      </c>
    </row>
    <row r="18" spans="1:21" ht="12.75">
      <c r="A18" s="195" t="s">
        <v>127</v>
      </c>
      <c r="B18" s="194" t="s">
        <v>128</v>
      </c>
      <c r="C18" s="194">
        <v>2010</v>
      </c>
      <c r="D18" s="194">
        <v>2012</v>
      </c>
      <c r="E18" s="194">
        <v>801</v>
      </c>
      <c r="F18" s="194">
        <v>80195</v>
      </c>
      <c r="G18" s="191">
        <v>1209460</v>
      </c>
      <c r="H18" s="192">
        <v>262180</v>
      </c>
      <c r="I18" s="192">
        <v>607570</v>
      </c>
      <c r="J18" s="192">
        <v>339710</v>
      </c>
      <c r="K18" s="192"/>
      <c r="L18" s="192"/>
      <c r="M18" s="192"/>
      <c r="N18" s="192"/>
      <c r="O18" s="192">
        <f t="shared" si="3"/>
        <v>947280</v>
      </c>
      <c r="P18" s="210"/>
      <c r="Q18" s="204"/>
      <c r="R18" s="204"/>
      <c r="S18" s="204"/>
      <c r="T18" s="204"/>
      <c r="U18" s="211"/>
    </row>
    <row r="19" spans="1:21" ht="12.75">
      <c r="A19" s="195"/>
      <c r="B19" s="194"/>
      <c r="C19" s="194"/>
      <c r="D19" s="194"/>
      <c r="E19" s="194"/>
      <c r="F19" s="194"/>
      <c r="G19" s="191"/>
      <c r="H19" s="192"/>
      <c r="I19" s="192"/>
      <c r="J19" s="192"/>
      <c r="K19" s="192"/>
      <c r="L19" s="192"/>
      <c r="M19" s="192"/>
      <c r="N19" s="192"/>
      <c r="O19" s="192">
        <f t="shared" si="3"/>
        <v>0</v>
      </c>
      <c r="P19" s="210"/>
      <c r="Q19" s="204"/>
      <c r="R19" s="204"/>
      <c r="S19" s="204"/>
      <c r="T19" s="204"/>
      <c r="U19" s="211"/>
    </row>
    <row r="20" spans="1:21" ht="27" customHeight="1">
      <c r="A20" s="284" t="s">
        <v>129</v>
      </c>
      <c r="B20" s="284"/>
      <c r="C20" s="284"/>
      <c r="D20" s="284"/>
      <c r="E20" s="284"/>
      <c r="F20" s="284"/>
      <c r="G20" s="191">
        <f>SUM(G21:G22)</f>
        <v>0</v>
      </c>
      <c r="H20" s="192"/>
      <c r="I20" s="192"/>
      <c r="J20" s="192"/>
      <c r="K20" s="192"/>
      <c r="L20" s="192"/>
      <c r="M20" s="192"/>
      <c r="N20" s="192"/>
      <c r="O20" s="192">
        <f t="shared" si="3"/>
        <v>0</v>
      </c>
      <c r="P20" s="210"/>
      <c r="Q20" s="204"/>
      <c r="R20" s="204"/>
      <c r="S20" s="204"/>
      <c r="T20" s="204"/>
      <c r="U20" s="211">
        <f>SUM(P20:T20)</f>
        <v>0</v>
      </c>
    </row>
    <row r="21" spans="1:21" ht="12.75">
      <c r="A21" s="196" t="s">
        <v>126</v>
      </c>
      <c r="B21" s="194"/>
      <c r="C21" s="194"/>
      <c r="D21" s="194"/>
      <c r="E21" s="285" t="s">
        <v>130</v>
      </c>
      <c r="F21" s="285"/>
      <c r="G21" s="191">
        <f>SUM(H21:N21)</f>
        <v>0</v>
      </c>
      <c r="H21" s="192"/>
      <c r="I21" s="192"/>
      <c r="J21" s="192"/>
      <c r="K21" s="192"/>
      <c r="L21" s="192"/>
      <c r="M21" s="192"/>
      <c r="N21" s="192"/>
      <c r="O21" s="192">
        <f t="shared" si="3"/>
        <v>0</v>
      </c>
      <c r="P21" s="210"/>
      <c r="Q21" s="204"/>
      <c r="R21" s="204"/>
      <c r="S21" s="204"/>
      <c r="T21" s="204"/>
      <c r="U21" s="211">
        <f>SUM(P21:T21)</f>
        <v>0</v>
      </c>
    </row>
    <row r="22" spans="1:21" ht="12.75">
      <c r="A22" s="196"/>
      <c r="B22" s="194"/>
      <c r="C22" s="194"/>
      <c r="D22" s="194"/>
      <c r="E22" s="194"/>
      <c r="F22" s="194"/>
      <c r="G22" s="191">
        <f>SUM(H22:N22)</f>
        <v>0</v>
      </c>
      <c r="H22" s="192"/>
      <c r="I22" s="192"/>
      <c r="J22" s="192"/>
      <c r="K22" s="192"/>
      <c r="L22" s="192"/>
      <c r="M22" s="192"/>
      <c r="N22" s="192"/>
      <c r="O22" s="192">
        <f t="shared" si="3"/>
        <v>0</v>
      </c>
      <c r="P22" s="210"/>
      <c r="Q22" s="204"/>
      <c r="R22" s="204"/>
      <c r="S22" s="204"/>
      <c r="T22" s="204"/>
      <c r="U22" s="211">
        <f>SUM(P22:T22)</f>
        <v>0</v>
      </c>
    </row>
    <row r="23" spans="1:21" ht="12.75">
      <c r="A23" s="284" t="s">
        <v>131</v>
      </c>
      <c r="B23" s="284"/>
      <c r="C23" s="284"/>
      <c r="D23" s="284"/>
      <c r="E23" s="284"/>
      <c r="F23" s="284"/>
      <c r="G23" s="191">
        <f>+G24</f>
        <v>0</v>
      </c>
      <c r="H23" s="191">
        <f aca="true" t="shared" si="6" ref="H23:N23">+H24</f>
        <v>0</v>
      </c>
      <c r="I23" s="191">
        <f t="shared" si="6"/>
        <v>0</v>
      </c>
      <c r="J23" s="191">
        <f t="shared" si="6"/>
        <v>0</v>
      </c>
      <c r="K23" s="191">
        <f t="shared" si="6"/>
        <v>0</v>
      </c>
      <c r="L23" s="191">
        <f t="shared" si="6"/>
        <v>0</v>
      </c>
      <c r="M23" s="191"/>
      <c r="N23" s="191">
        <f t="shared" si="6"/>
        <v>0</v>
      </c>
      <c r="O23" s="192">
        <f t="shared" si="3"/>
        <v>0</v>
      </c>
      <c r="P23" s="210"/>
      <c r="Q23" s="204"/>
      <c r="R23" s="204"/>
      <c r="S23" s="204"/>
      <c r="T23" s="204"/>
      <c r="U23" s="211">
        <f>SUM(P23:T23)</f>
        <v>0</v>
      </c>
    </row>
    <row r="24" spans="1:21" ht="12.75">
      <c r="A24" s="196" t="s">
        <v>126</v>
      </c>
      <c r="B24" s="194"/>
      <c r="C24" s="194"/>
      <c r="D24" s="194"/>
      <c r="E24" s="285" t="s">
        <v>130</v>
      </c>
      <c r="F24" s="285"/>
      <c r="G24" s="191"/>
      <c r="H24" s="191"/>
      <c r="I24" s="191"/>
      <c r="J24" s="191"/>
      <c r="K24" s="191"/>
      <c r="L24" s="191"/>
      <c r="M24" s="191"/>
      <c r="N24" s="191"/>
      <c r="O24" s="192">
        <f t="shared" si="3"/>
        <v>0</v>
      </c>
      <c r="P24" s="210"/>
      <c r="Q24" s="204"/>
      <c r="R24" s="204"/>
      <c r="S24" s="204"/>
      <c r="T24" s="204"/>
      <c r="U24" s="211">
        <f>SUM(P24:T24)</f>
        <v>0</v>
      </c>
    </row>
    <row r="25" spans="1:21" ht="12.75">
      <c r="A25" s="196"/>
      <c r="B25" s="194"/>
      <c r="C25" s="194"/>
      <c r="D25" s="194"/>
      <c r="E25" s="194"/>
      <c r="F25" s="194"/>
      <c r="G25" s="191"/>
      <c r="H25" s="192"/>
      <c r="I25" s="192"/>
      <c r="J25" s="192"/>
      <c r="K25" s="192"/>
      <c r="L25" s="192"/>
      <c r="M25" s="192"/>
      <c r="N25" s="192"/>
      <c r="O25" s="192">
        <f t="shared" si="3"/>
        <v>0</v>
      </c>
      <c r="P25" s="210"/>
      <c r="Q25" s="204"/>
      <c r="R25" s="204"/>
      <c r="S25" s="204"/>
      <c r="T25" s="204"/>
      <c r="U25" s="211"/>
    </row>
    <row r="26" spans="1:21" ht="39.75" customHeight="1">
      <c r="A26" s="282" t="s">
        <v>132</v>
      </c>
      <c r="B26" s="282"/>
      <c r="C26" s="282"/>
      <c r="D26" s="282"/>
      <c r="E26" s="282"/>
      <c r="F26" s="282"/>
      <c r="G26" s="191">
        <f aca="true" t="shared" si="7" ref="G26:L26">+G27</f>
        <v>3834500</v>
      </c>
      <c r="H26" s="191">
        <f t="shared" si="7"/>
        <v>0</v>
      </c>
      <c r="I26" s="191">
        <f t="shared" si="7"/>
        <v>1220500</v>
      </c>
      <c r="J26" s="191">
        <f t="shared" si="7"/>
        <v>1267000</v>
      </c>
      <c r="K26" s="191">
        <f t="shared" si="7"/>
        <v>1347000</v>
      </c>
      <c r="L26" s="191">
        <f t="shared" si="7"/>
        <v>0</v>
      </c>
      <c r="M26" s="191"/>
      <c r="N26" s="191">
        <f>+N27</f>
        <v>0</v>
      </c>
      <c r="O26" s="192">
        <f>SUM(I26:N26)</f>
        <v>3834500</v>
      </c>
      <c r="P26" s="210"/>
      <c r="Q26" s="204"/>
      <c r="R26" s="204"/>
      <c r="S26" s="204"/>
      <c r="T26" s="204"/>
      <c r="U26" s="211">
        <f aca="true" t="shared" si="8" ref="U26:U34">SUM(P26:T26)</f>
        <v>0</v>
      </c>
    </row>
    <row r="27" spans="1:21" ht="12.75">
      <c r="A27" s="196" t="s">
        <v>133</v>
      </c>
      <c r="B27" s="194"/>
      <c r="C27" s="194"/>
      <c r="D27" s="194"/>
      <c r="E27" s="285" t="s">
        <v>130</v>
      </c>
      <c r="F27" s="285"/>
      <c r="G27" s="191">
        <f>SUM(G28:G29)</f>
        <v>3834500</v>
      </c>
      <c r="H27" s="191">
        <f aca="true" t="shared" si="9" ref="H27:N27">SUM(H28:H29)</f>
        <v>0</v>
      </c>
      <c r="I27" s="191">
        <f t="shared" si="9"/>
        <v>1220500</v>
      </c>
      <c r="J27" s="191">
        <f t="shared" si="9"/>
        <v>1267000</v>
      </c>
      <c r="K27" s="191">
        <f t="shared" si="9"/>
        <v>1347000</v>
      </c>
      <c r="L27" s="191">
        <f t="shared" si="9"/>
        <v>0</v>
      </c>
      <c r="M27" s="191"/>
      <c r="N27" s="191">
        <f t="shared" si="9"/>
        <v>0</v>
      </c>
      <c r="O27" s="192">
        <f aca="true" t="shared" si="10" ref="O27:O75">SUM(I27:N27)</f>
        <v>3834500</v>
      </c>
      <c r="P27" s="210"/>
      <c r="Q27" s="204"/>
      <c r="R27" s="204"/>
      <c r="S27" s="204"/>
      <c r="T27" s="204"/>
      <c r="U27" s="211">
        <f t="shared" si="8"/>
        <v>0</v>
      </c>
    </row>
    <row r="28" spans="1:21" ht="12.75">
      <c r="A28" s="196" t="s">
        <v>134</v>
      </c>
      <c r="B28" s="194" t="s">
        <v>128</v>
      </c>
      <c r="C28" s="194">
        <v>2011</v>
      </c>
      <c r="D28" s="194">
        <v>2014</v>
      </c>
      <c r="E28" s="194">
        <v>600</v>
      </c>
      <c r="F28" s="194">
        <v>60004</v>
      </c>
      <c r="G28" s="191">
        <f aca="true" t="shared" si="11" ref="G28:G34">SUM(H28:N28)</f>
        <v>3318500</v>
      </c>
      <c r="H28" s="192"/>
      <c r="I28" s="192">
        <f>166500+882000</f>
        <v>1048500</v>
      </c>
      <c r="J28" s="192">
        <v>1095000</v>
      </c>
      <c r="K28" s="192">
        <v>1175000</v>
      </c>
      <c r="L28" s="192"/>
      <c r="M28" s="192"/>
      <c r="N28" s="192"/>
      <c r="O28" s="192">
        <f t="shared" si="10"/>
        <v>3318500</v>
      </c>
      <c r="P28" s="210"/>
      <c r="Q28" s="204"/>
      <c r="R28" s="204"/>
      <c r="S28" s="204"/>
      <c r="T28" s="204"/>
      <c r="U28" s="211">
        <f t="shared" si="8"/>
        <v>0</v>
      </c>
    </row>
    <row r="29" spans="1:21" ht="12.75">
      <c r="A29" s="196" t="s">
        <v>135</v>
      </c>
      <c r="B29" s="194" t="s">
        <v>128</v>
      </c>
      <c r="C29" s="194">
        <v>2011</v>
      </c>
      <c r="D29" s="194">
        <v>2014</v>
      </c>
      <c r="E29" s="194">
        <v>801</v>
      </c>
      <c r="F29" s="194">
        <v>80113</v>
      </c>
      <c r="G29" s="191">
        <f t="shared" si="11"/>
        <v>516000</v>
      </c>
      <c r="H29" s="192"/>
      <c r="I29" s="192">
        <f>95000+77000</f>
        <v>172000</v>
      </c>
      <c r="J29" s="192">
        <f>95000+77000</f>
        <v>172000</v>
      </c>
      <c r="K29" s="192">
        <f>95000+77000</f>
        <v>172000</v>
      </c>
      <c r="L29" s="192"/>
      <c r="M29" s="192"/>
      <c r="N29" s="192"/>
      <c r="O29" s="192">
        <f t="shared" si="10"/>
        <v>516000</v>
      </c>
      <c r="P29" s="210"/>
      <c r="Q29" s="204"/>
      <c r="R29" s="204"/>
      <c r="S29" s="204"/>
      <c r="T29" s="204"/>
      <c r="U29" s="211">
        <f t="shared" si="8"/>
        <v>0</v>
      </c>
    </row>
    <row r="30" spans="1:21" ht="12.75">
      <c r="A30" s="196"/>
      <c r="B30" s="194"/>
      <c r="C30" s="194"/>
      <c r="D30" s="194"/>
      <c r="E30" s="194"/>
      <c r="F30" s="194"/>
      <c r="G30" s="191">
        <f t="shared" si="11"/>
        <v>0</v>
      </c>
      <c r="H30" s="192"/>
      <c r="I30" s="192"/>
      <c r="J30" s="192"/>
      <c r="K30" s="192"/>
      <c r="L30" s="192"/>
      <c r="M30" s="192"/>
      <c r="N30" s="192"/>
      <c r="O30" s="192">
        <f t="shared" si="10"/>
        <v>0</v>
      </c>
      <c r="P30" s="210"/>
      <c r="Q30" s="204"/>
      <c r="R30" s="204"/>
      <c r="S30" s="204"/>
      <c r="T30" s="204"/>
      <c r="U30" s="211">
        <f t="shared" si="8"/>
        <v>0</v>
      </c>
    </row>
    <row r="31" spans="1:21" ht="12.75">
      <c r="A31" s="282" t="s">
        <v>136</v>
      </c>
      <c r="B31" s="282"/>
      <c r="C31" s="282"/>
      <c r="D31" s="282"/>
      <c r="E31" s="282"/>
      <c r="F31" s="282"/>
      <c r="G31" s="191">
        <f t="shared" si="11"/>
        <v>0</v>
      </c>
      <c r="H31" s="192"/>
      <c r="I31" s="192"/>
      <c r="J31" s="192"/>
      <c r="K31" s="192"/>
      <c r="L31" s="192"/>
      <c r="M31" s="192"/>
      <c r="N31" s="192"/>
      <c r="O31" s="192">
        <f t="shared" si="10"/>
        <v>0</v>
      </c>
      <c r="P31" s="210"/>
      <c r="Q31" s="204"/>
      <c r="R31" s="204"/>
      <c r="S31" s="204"/>
      <c r="T31" s="204"/>
      <c r="U31" s="211">
        <f t="shared" si="8"/>
        <v>0</v>
      </c>
    </row>
    <row r="32" spans="1:21" ht="12.75">
      <c r="A32" s="196" t="s">
        <v>133</v>
      </c>
      <c r="B32" s="194"/>
      <c r="C32" s="194"/>
      <c r="D32" s="194"/>
      <c r="E32" s="285" t="s">
        <v>130</v>
      </c>
      <c r="F32" s="285"/>
      <c r="G32" s="191">
        <f t="shared" si="11"/>
        <v>0</v>
      </c>
      <c r="H32" s="192"/>
      <c r="I32" s="192"/>
      <c r="J32" s="192"/>
      <c r="K32" s="192"/>
      <c r="L32" s="192"/>
      <c r="M32" s="192"/>
      <c r="N32" s="192"/>
      <c r="O32" s="192">
        <f t="shared" si="10"/>
        <v>0</v>
      </c>
      <c r="P32" s="210"/>
      <c r="Q32" s="204"/>
      <c r="R32" s="204"/>
      <c r="S32" s="204"/>
      <c r="T32" s="204"/>
      <c r="U32" s="211">
        <f t="shared" si="8"/>
        <v>0</v>
      </c>
    </row>
    <row r="33" spans="1:21" ht="12.75">
      <c r="A33" s="196"/>
      <c r="B33" s="194"/>
      <c r="C33" s="194"/>
      <c r="D33" s="194"/>
      <c r="E33" s="194"/>
      <c r="F33" s="194"/>
      <c r="G33" s="191">
        <f t="shared" si="11"/>
        <v>0</v>
      </c>
      <c r="H33" s="192"/>
      <c r="I33" s="192"/>
      <c r="J33" s="192"/>
      <c r="K33" s="192"/>
      <c r="L33" s="192"/>
      <c r="M33" s="192"/>
      <c r="N33" s="192"/>
      <c r="O33" s="192">
        <f t="shared" si="10"/>
        <v>0</v>
      </c>
      <c r="P33" s="210"/>
      <c r="Q33" s="204"/>
      <c r="R33" s="204"/>
      <c r="S33" s="204"/>
      <c r="T33" s="204"/>
      <c r="U33" s="211">
        <f t="shared" si="8"/>
        <v>0</v>
      </c>
    </row>
    <row r="34" spans="1:21" ht="12.75">
      <c r="A34" s="196"/>
      <c r="B34" s="197"/>
      <c r="C34" s="194"/>
      <c r="D34" s="194"/>
      <c r="E34" s="194"/>
      <c r="F34" s="194"/>
      <c r="G34" s="191">
        <f t="shared" si="11"/>
        <v>0</v>
      </c>
      <c r="H34" s="192"/>
      <c r="I34" s="192"/>
      <c r="J34" s="192"/>
      <c r="K34" s="192"/>
      <c r="L34" s="192"/>
      <c r="M34" s="192"/>
      <c r="N34" s="192"/>
      <c r="O34" s="192">
        <f t="shared" si="10"/>
        <v>0</v>
      </c>
      <c r="P34" s="210"/>
      <c r="Q34" s="204"/>
      <c r="R34" s="204"/>
      <c r="S34" s="204"/>
      <c r="T34" s="204"/>
      <c r="U34" s="211">
        <f t="shared" si="8"/>
        <v>0</v>
      </c>
    </row>
    <row r="35" spans="1:21" ht="12.75">
      <c r="A35" s="282" t="s">
        <v>137</v>
      </c>
      <c r="B35" s="282"/>
      <c r="C35" s="282"/>
      <c r="D35" s="282"/>
      <c r="E35" s="282"/>
      <c r="F35" s="282"/>
      <c r="G35" s="191">
        <f aca="true" t="shared" si="12" ref="G35:N35">+G37+G69</f>
        <v>59651473.71</v>
      </c>
      <c r="H35" s="191">
        <f t="shared" si="12"/>
        <v>7653307.67</v>
      </c>
      <c r="I35" s="191">
        <f t="shared" si="12"/>
        <v>7911841.72</v>
      </c>
      <c r="J35" s="191">
        <f t="shared" si="12"/>
        <v>5423701.72</v>
      </c>
      <c r="K35" s="191">
        <f t="shared" si="12"/>
        <v>6662201.72</v>
      </c>
      <c r="L35" s="191">
        <f t="shared" si="12"/>
        <v>10755210.44</v>
      </c>
      <c r="M35" s="191">
        <f t="shared" si="12"/>
        <v>12245210.44</v>
      </c>
      <c r="N35" s="191">
        <f t="shared" si="12"/>
        <v>9000000</v>
      </c>
      <c r="O35" s="192">
        <f t="shared" si="10"/>
        <v>51998166.04</v>
      </c>
      <c r="P35" s="198">
        <f aca="true" t="shared" si="13" ref="P35:U35">+P37+P69</f>
        <v>4012184</v>
      </c>
      <c r="Q35" s="191">
        <f t="shared" si="13"/>
        <v>332625</v>
      </c>
      <c r="R35" s="191">
        <f t="shared" si="13"/>
        <v>0</v>
      </c>
      <c r="S35" s="191">
        <f t="shared" si="13"/>
        <v>0</v>
      </c>
      <c r="T35" s="191">
        <f t="shared" si="13"/>
        <v>0</v>
      </c>
      <c r="U35" s="191">
        <f t="shared" si="13"/>
        <v>4344809</v>
      </c>
    </row>
    <row r="36" spans="1:21" ht="12.75">
      <c r="A36" s="217" t="s">
        <v>167</v>
      </c>
      <c r="B36" s="218"/>
      <c r="C36" s="218"/>
      <c r="D36" s="218"/>
      <c r="E36" s="218"/>
      <c r="F36" s="219"/>
      <c r="G36" s="191"/>
      <c r="H36" s="191"/>
      <c r="I36" s="191"/>
      <c r="J36" s="191"/>
      <c r="K36" s="191"/>
      <c r="L36" s="191"/>
      <c r="M36" s="191"/>
      <c r="N36" s="191"/>
      <c r="O36" s="192"/>
      <c r="P36" s="198"/>
      <c r="Q36" s="191"/>
      <c r="R36" s="191"/>
      <c r="S36" s="191"/>
      <c r="T36" s="191"/>
      <c r="U36" s="191"/>
    </row>
    <row r="37" spans="1:21" ht="12.75">
      <c r="A37" s="282" t="s">
        <v>124</v>
      </c>
      <c r="B37" s="282"/>
      <c r="C37" s="282"/>
      <c r="D37" s="282"/>
      <c r="E37" s="282"/>
      <c r="F37" s="282"/>
      <c r="G37" s="191">
        <f aca="true" t="shared" si="14" ref="G37:N37">+G39+G52+G55</f>
        <v>57657422</v>
      </c>
      <c r="H37" s="191">
        <f t="shared" si="14"/>
        <v>6656282</v>
      </c>
      <c r="I37" s="191">
        <f t="shared" si="14"/>
        <v>7649640</v>
      </c>
      <c r="J37" s="191">
        <f t="shared" si="14"/>
        <v>5161500</v>
      </c>
      <c r="K37" s="191">
        <f t="shared" si="14"/>
        <v>6400000</v>
      </c>
      <c r="L37" s="191">
        <f t="shared" si="14"/>
        <v>10650000</v>
      </c>
      <c r="M37" s="191">
        <f t="shared" si="14"/>
        <v>12140000</v>
      </c>
      <c r="N37" s="191">
        <f t="shared" si="14"/>
        <v>9000000</v>
      </c>
      <c r="O37" s="192">
        <f t="shared" si="10"/>
        <v>51001140</v>
      </c>
      <c r="P37" s="198">
        <f aca="true" t="shared" si="15" ref="P37:U37">+P39+P52+P55</f>
        <v>4012184</v>
      </c>
      <c r="Q37" s="191">
        <f t="shared" si="15"/>
        <v>332625</v>
      </c>
      <c r="R37" s="191">
        <f t="shared" si="15"/>
        <v>0</v>
      </c>
      <c r="S37" s="191">
        <f t="shared" si="15"/>
        <v>0</v>
      </c>
      <c r="T37" s="191">
        <f t="shared" si="15"/>
        <v>0</v>
      </c>
      <c r="U37" s="191">
        <f t="shared" si="15"/>
        <v>4344809</v>
      </c>
    </row>
    <row r="38" spans="1:21" ht="26.25" customHeight="1">
      <c r="A38" s="284" t="s">
        <v>138</v>
      </c>
      <c r="B38" s="284"/>
      <c r="C38" s="284"/>
      <c r="D38" s="284"/>
      <c r="E38" s="284"/>
      <c r="F38" s="284"/>
      <c r="G38" s="191">
        <f>SUM(H38:N38)</f>
        <v>18506908</v>
      </c>
      <c r="H38" s="191">
        <f>+H39</f>
        <v>3905408</v>
      </c>
      <c r="I38" s="191">
        <f aca="true" t="shared" si="16" ref="I38:N38">+I39</f>
        <v>6020000</v>
      </c>
      <c r="J38" s="191">
        <f t="shared" si="16"/>
        <v>2551500</v>
      </c>
      <c r="K38" s="191">
        <f t="shared" si="16"/>
        <v>2050000</v>
      </c>
      <c r="L38" s="191">
        <f t="shared" si="16"/>
        <v>3700000</v>
      </c>
      <c r="M38" s="191">
        <f t="shared" si="16"/>
        <v>280000</v>
      </c>
      <c r="N38" s="191">
        <f t="shared" si="16"/>
        <v>0</v>
      </c>
      <c r="O38" s="191">
        <f t="shared" si="10"/>
        <v>14601500</v>
      </c>
      <c r="P38" s="210"/>
      <c r="Q38" s="204"/>
      <c r="R38" s="204"/>
      <c r="S38" s="204"/>
      <c r="T38" s="204"/>
      <c r="U38" s="211">
        <f>SUM(P38:T38)</f>
        <v>0</v>
      </c>
    </row>
    <row r="39" spans="1:21" ht="25.5">
      <c r="A39" s="189" t="s">
        <v>139</v>
      </c>
      <c r="B39" s="99" t="s">
        <v>128</v>
      </c>
      <c r="C39" s="99">
        <v>2008</v>
      </c>
      <c r="D39" s="99">
        <v>2015</v>
      </c>
      <c r="E39" s="286" t="s">
        <v>130</v>
      </c>
      <c r="F39" s="286"/>
      <c r="G39" s="191">
        <f aca="true" t="shared" si="17" ref="G39:N39">SUM(G40:G49)</f>
        <v>18506908</v>
      </c>
      <c r="H39" s="191">
        <f t="shared" si="17"/>
        <v>3905408</v>
      </c>
      <c r="I39" s="191">
        <f t="shared" si="17"/>
        <v>6020000</v>
      </c>
      <c r="J39" s="191">
        <f t="shared" si="17"/>
        <v>2551500</v>
      </c>
      <c r="K39" s="191">
        <f t="shared" si="17"/>
        <v>2050000</v>
      </c>
      <c r="L39" s="191">
        <f t="shared" si="17"/>
        <v>3700000</v>
      </c>
      <c r="M39" s="191">
        <f t="shared" si="17"/>
        <v>280000</v>
      </c>
      <c r="N39" s="191">
        <f t="shared" si="17"/>
        <v>0</v>
      </c>
      <c r="O39" s="192">
        <f t="shared" si="10"/>
        <v>14601500</v>
      </c>
      <c r="P39" s="198">
        <f aca="true" t="shared" si="18" ref="P39:U39">SUM(P40:P49)</f>
        <v>4012184</v>
      </c>
      <c r="Q39" s="191">
        <f t="shared" si="18"/>
        <v>332625</v>
      </c>
      <c r="R39" s="191">
        <f t="shared" si="18"/>
        <v>0</v>
      </c>
      <c r="S39" s="191">
        <f t="shared" si="18"/>
        <v>0</v>
      </c>
      <c r="T39" s="191">
        <f t="shared" si="18"/>
        <v>0</v>
      </c>
      <c r="U39" s="191">
        <f t="shared" si="18"/>
        <v>4344809</v>
      </c>
    </row>
    <row r="40" spans="1:21" ht="38.25">
      <c r="A40" s="195" t="s">
        <v>140</v>
      </c>
      <c r="B40" s="99" t="s">
        <v>128</v>
      </c>
      <c r="C40" s="99">
        <v>2009</v>
      </c>
      <c r="D40" s="99">
        <v>2011</v>
      </c>
      <c r="E40" s="99">
        <v>700</v>
      </c>
      <c r="F40" s="99">
        <v>70095</v>
      </c>
      <c r="G40" s="191">
        <f aca="true" t="shared" si="19" ref="G40:G49">SUM(H40:N40)</f>
        <v>1109100</v>
      </c>
      <c r="H40" s="192">
        <v>109100</v>
      </c>
      <c r="I40" s="192">
        <v>900000</v>
      </c>
      <c r="J40" s="192">
        <v>100000</v>
      </c>
      <c r="K40" s="192"/>
      <c r="L40" s="192"/>
      <c r="M40" s="192"/>
      <c r="N40" s="192"/>
      <c r="O40" s="192">
        <f t="shared" si="10"/>
        <v>1000000</v>
      </c>
      <c r="P40" s="210">
        <v>700000</v>
      </c>
      <c r="Q40" s="204">
        <v>90000</v>
      </c>
      <c r="R40" s="204"/>
      <c r="S40" s="204"/>
      <c r="T40" s="204"/>
      <c r="U40" s="211">
        <f aca="true" t="shared" si="20" ref="U40:U75">SUM(P40:T40)</f>
        <v>790000</v>
      </c>
    </row>
    <row r="41" spans="1:21" ht="51">
      <c r="A41" s="195" t="s">
        <v>141</v>
      </c>
      <c r="B41" s="99" t="s">
        <v>128</v>
      </c>
      <c r="C41" s="99">
        <v>2009</v>
      </c>
      <c r="D41" s="99">
        <v>2012</v>
      </c>
      <c r="E41" s="99">
        <v>700</v>
      </c>
      <c r="F41" s="99">
        <v>70095</v>
      </c>
      <c r="G41" s="191">
        <f t="shared" si="19"/>
        <v>1858291</v>
      </c>
      <c r="H41" s="192">
        <v>238291</v>
      </c>
      <c r="I41" s="192">
        <v>1350000</v>
      </c>
      <c r="J41" s="192">
        <v>270000</v>
      </c>
      <c r="K41" s="192"/>
      <c r="L41" s="192"/>
      <c r="M41" s="192"/>
      <c r="N41" s="192"/>
      <c r="O41" s="192">
        <f t="shared" si="10"/>
        <v>1620000</v>
      </c>
      <c r="P41" s="210">
        <v>420000</v>
      </c>
      <c r="Q41" s="204">
        <v>85000</v>
      </c>
      <c r="R41" s="204"/>
      <c r="S41" s="204"/>
      <c r="T41" s="204"/>
      <c r="U41" s="211">
        <f t="shared" si="20"/>
        <v>505000</v>
      </c>
    </row>
    <row r="42" spans="1:21" ht="63.75">
      <c r="A42" s="195" t="s">
        <v>142</v>
      </c>
      <c r="B42" s="99" t="s">
        <v>128</v>
      </c>
      <c r="C42" s="99">
        <v>2009</v>
      </c>
      <c r="D42" s="99">
        <v>2012</v>
      </c>
      <c r="E42" s="99">
        <v>700</v>
      </c>
      <c r="F42" s="99">
        <v>70095</v>
      </c>
      <c r="G42" s="191">
        <f t="shared" si="19"/>
        <v>1158257</v>
      </c>
      <c r="H42" s="192">
        <v>128257</v>
      </c>
      <c r="I42" s="192">
        <v>450000</v>
      </c>
      <c r="J42" s="192">
        <v>580000</v>
      </c>
      <c r="K42" s="192"/>
      <c r="L42" s="192"/>
      <c r="M42" s="192"/>
      <c r="N42" s="192"/>
      <c r="O42" s="192">
        <f t="shared" si="10"/>
        <v>1030000</v>
      </c>
      <c r="P42" s="210">
        <v>250000</v>
      </c>
      <c r="Q42" s="204">
        <v>157625</v>
      </c>
      <c r="R42" s="204"/>
      <c r="S42" s="204"/>
      <c r="T42" s="204"/>
      <c r="U42" s="211">
        <f t="shared" si="20"/>
        <v>407625</v>
      </c>
    </row>
    <row r="43" spans="1:21" ht="25.5">
      <c r="A43" s="195" t="s">
        <v>143</v>
      </c>
      <c r="B43" s="99" t="s">
        <v>128</v>
      </c>
      <c r="C43" s="99">
        <v>2009</v>
      </c>
      <c r="D43" s="99">
        <v>2012</v>
      </c>
      <c r="E43" s="99">
        <v>700</v>
      </c>
      <c r="F43" s="99">
        <v>70095</v>
      </c>
      <c r="G43" s="191">
        <f t="shared" si="19"/>
        <v>528975</v>
      </c>
      <c r="H43" s="192">
        <v>28975</v>
      </c>
      <c r="I43" s="199"/>
      <c r="J43" s="192">
        <v>500000</v>
      </c>
      <c r="K43" s="192"/>
      <c r="L43" s="192"/>
      <c r="M43" s="192"/>
      <c r="N43" s="192"/>
      <c r="O43" s="192">
        <f t="shared" si="10"/>
        <v>500000</v>
      </c>
      <c r="P43" s="210">
        <v>350000</v>
      </c>
      <c r="Q43" s="204"/>
      <c r="R43" s="204"/>
      <c r="S43" s="204"/>
      <c r="T43" s="204"/>
      <c r="U43" s="211">
        <f t="shared" si="20"/>
        <v>350000</v>
      </c>
    </row>
    <row r="44" spans="1:21" ht="25.5">
      <c r="A44" s="195" t="s">
        <v>144</v>
      </c>
      <c r="B44" s="99" t="s">
        <v>128</v>
      </c>
      <c r="C44" s="99">
        <v>2009</v>
      </c>
      <c r="D44" s="99">
        <v>2012</v>
      </c>
      <c r="E44" s="99">
        <v>900</v>
      </c>
      <c r="F44" s="99">
        <v>90015</v>
      </c>
      <c r="G44" s="191">
        <f t="shared" si="19"/>
        <v>438263</v>
      </c>
      <c r="H44" s="192">
        <v>38263</v>
      </c>
      <c r="I44" s="192">
        <v>400000</v>
      </c>
      <c r="J44" s="192"/>
      <c r="K44" s="192"/>
      <c r="L44" s="192"/>
      <c r="M44" s="192"/>
      <c r="N44" s="192"/>
      <c r="O44" s="192">
        <f t="shared" si="10"/>
        <v>400000</v>
      </c>
      <c r="P44" s="210">
        <v>280000</v>
      </c>
      <c r="Q44" s="204"/>
      <c r="R44" s="204"/>
      <c r="S44" s="204"/>
      <c r="T44" s="204"/>
      <c r="U44" s="211">
        <f t="shared" si="20"/>
        <v>280000</v>
      </c>
    </row>
    <row r="45" spans="1:21" ht="51">
      <c r="A45" s="195" t="s">
        <v>145</v>
      </c>
      <c r="B45" s="99" t="s">
        <v>128</v>
      </c>
      <c r="C45" s="99">
        <v>2009</v>
      </c>
      <c r="D45" s="99">
        <v>2011</v>
      </c>
      <c r="E45" s="99">
        <v>600</v>
      </c>
      <c r="F45" s="99">
        <v>60016</v>
      </c>
      <c r="G45" s="191">
        <f t="shared" si="19"/>
        <v>1158259</v>
      </c>
      <c r="H45" s="192">
        <v>508259</v>
      </c>
      <c r="I45" s="192">
        <v>650000</v>
      </c>
      <c r="J45" s="192"/>
      <c r="K45" s="192"/>
      <c r="L45" s="192"/>
      <c r="M45" s="192"/>
      <c r="N45" s="192"/>
      <c r="O45" s="192">
        <f t="shared" si="10"/>
        <v>650000</v>
      </c>
      <c r="P45" s="210">
        <v>700000</v>
      </c>
      <c r="Q45" s="204"/>
      <c r="R45" s="204"/>
      <c r="S45" s="204"/>
      <c r="T45" s="204"/>
      <c r="U45" s="211">
        <f t="shared" si="20"/>
        <v>700000</v>
      </c>
    </row>
    <row r="46" spans="1:21" ht="38.25">
      <c r="A46" s="196" t="s">
        <v>146</v>
      </c>
      <c r="B46" s="99" t="s">
        <v>128</v>
      </c>
      <c r="C46" s="99">
        <v>2009</v>
      </c>
      <c r="D46" s="99">
        <v>2011</v>
      </c>
      <c r="E46" s="99">
        <v>754</v>
      </c>
      <c r="F46" s="99">
        <v>75412</v>
      </c>
      <c r="G46" s="191">
        <f t="shared" si="19"/>
        <v>1159357</v>
      </c>
      <c r="H46" s="192">
        <f>520000+69357</f>
        <v>589357</v>
      </c>
      <c r="I46" s="192">
        <v>570000</v>
      </c>
      <c r="J46" s="192"/>
      <c r="K46" s="192"/>
      <c r="L46" s="192"/>
      <c r="M46" s="192"/>
      <c r="N46" s="192"/>
      <c r="O46" s="192">
        <f t="shared" si="10"/>
        <v>570000</v>
      </c>
      <c r="P46" s="210">
        <v>373163</v>
      </c>
      <c r="Q46" s="204"/>
      <c r="R46" s="204"/>
      <c r="S46" s="204"/>
      <c r="T46" s="204"/>
      <c r="U46" s="211">
        <f t="shared" si="20"/>
        <v>373163</v>
      </c>
    </row>
    <row r="47" spans="1:21" ht="25.5">
      <c r="A47" s="200" t="s">
        <v>147</v>
      </c>
      <c r="B47" s="99" t="s">
        <v>128</v>
      </c>
      <c r="C47" s="99">
        <v>2009</v>
      </c>
      <c r="D47" s="99">
        <v>2011</v>
      </c>
      <c r="E47" s="99">
        <v>900</v>
      </c>
      <c r="F47" s="99">
        <v>90001</v>
      </c>
      <c r="G47" s="191">
        <f t="shared" si="19"/>
        <v>2800000</v>
      </c>
      <c r="H47" s="192">
        <v>2100000</v>
      </c>
      <c r="I47" s="192">
        <v>700000</v>
      </c>
      <c r="J47" s="192"/>
      <c r="K47" s="192"/>
      <c r="L47" s="192"/>
      <c r="M47" s="192"/>
      <c r="N47" s="192"/>
      <c r="O47" s="192">
        <f t="shared" si="10"/>
        <v>700000</v>
      </c>
      <c r="P47" s="210">
        <v>939021</v>
      </c>
      <c r="Q47" s="204"/>
      <c r="R47" s="204"/>
      <c r="S47" s="204"/>
      <c r="T47" s="204"/>
      <c r="U47" s="211">
        <f t="shared" si="20"/>
        <v>939021</v>
      </c>
    </row>
    <row r="48" spans="1:21" ht="38.25">
      <c r="A48" s="195" t="s">
        <v>148</v>
      </c>
      <c r="B48" s="99" t="s">
        <v>128</v>
      </c>
      <c r="C48" s="99">
        <v>2009</v>
      </c>
      <c r="D48" s="99">
        <v>2015</v>
      </c>
      <c r="E48" s="99">
        <v>750</v>
      </c>
      <c r="F48" s="99">
        <v>75023</v>
      </c>
      <c r="G48" s="191">
        <f t="shared" si="19"/>
        <v>6197936</v>
      </c>
      <c r="H48" s="192">
        <v>117936</v>
      </c>
      <c r="I48" s="192"/>
      <c r="J48" s="192">
        <v>50000</v>
      </c>
      <c r="K48" s="192">
        <v>2050000</v>
      </c>
      <c r="L48" s="192">
        <v>3700000</v>
      </c>
      <c r="M48" s="192">
        <v>280000</v>
      </c>
      <c r="N48" s="192"/>
      <c r="O48" s="192">
        <f t="shared" si="10"/>
        <v>6080000</v>
      </c>
      <c r="P48" s="210"/>
      <c r="Q48" s="204"/>
      <c r="R48" s="204"/>
      <c r="S48" s="204"/>
      <c r="T48" s="204"/>
      <c r="U48" s="211">
        <f t="shared" si="20"/>
        <v>0</v>
      </c>
    </row>
    <row r="49" spans="1:21" ht="51">
      <c r="A49" s="195" t="s">
        <v>149</v>
      </c>
      <c r="B49" s="99" t="s">
        <v>128</v>
      </c>
      <c r="C49" s="99">
        <v>2010</v>
      </c>
      <c r="D49" s="99">
        <v>2012</v>
      </c>
      <c r="E49" s="99">
        <v>600</v>
      </c>
      <c r="F49" s="99">
        <v>60016</v>
      </c>
      <c r="G49" s="191">
        <f t="shared" si="19"/>
        <v>2098470</v>
      </c>
      <c r="H49" s="192">
        <v>46970</v>
      </c>
      <c r="I49" s="192">
        <v>1000000</v>
      </c>
      <c r="J49" s="192">
        <v>1051500</v>
      </c>
      <c r="K49" s="192"/>
      <c r="L49" s="192"/>
      <c r="M49" s="192"/>
      <c r="N49" s="192"/>
      <c r="O49" s="192">
        <f t="shared" si="10"/>
        <v>2051500</v>
      </c>
      <c r="P49" s="210"/>
      <c r="Q49" s="204"/>
      <c r="R49" s="204"/>
      <c r="S49" s="204"/>
      <c r="T49" s="204"/>
      <c r="U49" s="211">
        <f t="shared" si="20"/>
        <v>0</v>
      </c>
    </row>
    <row r="50" spans="1:21" ht="12.75">
      <c r="A50" s="196"/>
      <c r="B50" s="194"/>
      <c r="C50" s="194"/>
      <c r="D50" s="194"/>
      <c r="E50" s="201"/>
      <c r="F50" s="202"/>
      <c r="G50" s="191"/>
      <c r="H50" s="192"/>
      <c r="I50" s="192"/>
      <c r="J50" s="192"/>
      <c r="K50" s="192"/>
      <c r="L50" s="192"/>
      <c r="M50" s="192"/>
      <c r="N50" s="192"/>
      <c r="O50" s="192">
        <f t="shared" si="10"/>
        <v>0</v>
      </c>
      <c r="P50" s="210"/>
      <c r="Q50" s="204"/>
      <c r="R50" s="204"/>
      <c r="S50" s="204"/>
      <c r="T50" s="204"/>
      <c r="U50" s="211">
        <f t="shared" si="20"/>
        <v>0</v>
      </c>
    </row>
    <row r="51" spans="1:21" ht="12.75">
      <c r="A51" s="196"/>
      <c r="B51" s="194"/>
      <c r="C51" s="194"/>
      <c r="D51" s="194"/>
      <c r="E51" s="194"/>
      <c r="F51" s="194"/>
      <c r="G51" s="191">
        <f>SUM(H51:N51)</f>
        <v>0</v>
      </c>
      <c r="H51" s="192"/>
      <c r="I51" s="192"/>
      <c r="J51" s="192"/>
      <c r="K51" s="192"/>
      <c r="L51" s="192"/>
      <c r="M51" s="192"/>
      <c r="N51" s="192"/>
      <c r="O51" s="192">
        <f t="shared" si="10"/>
        <v>0</v>
      </c>
      <c r="P51" s="210"/>
      <c r="Q51" s="204"/>
      <c r="R51" s="204"/>
      <c r="S51" s="204"/>
      <c r="T51" s="204"/>
      <c r="U51" s="211">
        <f t="shared" si="20"/>
        <v>0</v>
      </c>
    </row>
    <row r="52" spans="1:21" ht="26.25" customHeight="1">
      <c r="A52" s="287" t="s">
        <v>129</v>
      </c>
      <c r="B52" s="288"/>
      <c r="C52" s="288"/>
      <c r="D52" s="288"/>
      <c r="E52" s="288"/>
      <c r="F52" s="289"/>
      <c r="G52" s="191">
        <f>SUM(H52:N52)</f>
        <v>0</v>
      </c>
      <c r="H52" s="192"/>
      <c r="I52" s="192"/>
      <c r="J52" s="192"/>
      <c r="K52" s="192"/>
      <c r="L52" s="192"/>
      <c r="M52" s="192"/>
      <c r="N52" s="192"/>
      <c r="O52" s="192">
        <f t="shared" si="10"/>
        <v>0</v>
      </c>
      <c r="P52" s="210"/>
      <c r="Q52" s="204"/>
      <c r="R52" s="204"/>
      <c r="S52" s="204"/>
      <c r="T52" s="204"/>
      <c r="U52" s="211">
        <f t="shared" si="20"/>
        <v>0</v>
      </c>
    </row>
    <row r="53" spans="1:21" ht="12.75">
      <c r="A53" s="196" t="s">
        <v>126</v>
      </c>
      <c r="B53" s="194"/>
      <c r="C53" s="194"/>
      <c r="D53" s="194"/>
      <c r="E53" s="290" t="s">
        <v>130</v>
      </c>
      <c r="F53" s="291"/>
      <c r="G53" s="191">
        <f>SUM(H53:N53)</f>
        <v>0</v>
      </c>
      <c r="H53" s="192"/>
      <c r="I53" s="192"/>
      <c r="J53" s="192"/>
      <c r="K53" s="192"/>
      <c r="L53" s="192"/>
      <c r="M53" s="192"/>
      <c r="N53" s="192"/>
      <c r="O53" s="192">
        <f t="shared" si="10"/>
        <v>0</v>
      </c>
      <c r="P53" s="210"/>
      <c r="Q53" s="204"/>
      <c r="R53" s="204"/>
      <c r="S53" s="204"/>
      <c r="T53" s="204"/>
      <c r="U53" s="211">
        <f t="shared" si="20"/>
        <v>0</v>
      </c>
    </row>
    <row r="54" spans="1:21" ht="12.75">
      <c r="A54" s="196"/>
      <c r="B54" s="194"/>
      <c r="C54" s="194"/>
      <c r="D54" s="194"/>
      <c r="E54" s="194"/>
      <c r="F54" s="194"/>
      <c r="G54" s="191">
        <f>SUM(H54:N54)</f>
        <v>0</v>
      </c>
      <c r="H54" s="192"/>
      <c r="I54" s="192"/>
      <c r="J54" s="192"/>
      <c r="K54" s="192"/>
      <c r="L54" s="192"/>
      <c r="M54" s="192"/>
      <c r="N54" s="192"/>
      <c r="O54" s="192">
        <f t="shared" si="10"/>
        <v>0</v>
      </c>
      <c r="P54" s="210"/>
      <c r="Q54" s="204"/>
      <c r="R54" s="204"/>
      <c r="S54" s="204"/>
      <c r="T54" s="204"/>
      <c r="U54" s="211">
        <f t="shared" si="20"/>
        <v>0</v>
      </c>
    </row>
    <row r="55" spans="1:21" ht="12.75" customHeight="1">
      <c r="A55" s="287" t="s">
        <v>150</v>
      </c>
      <c r="B55" s="288"/>
      <c r="C55" s="288"/>
      <c r="D55" s="288"/>
      <c r="E55" s="288"/>
      <c r="F55" s="289"/>
      <c r="G55" s="191">
        <f>+G56</f>
        <v>39150514</v>
      </c>
      <c r="H55" s="191">
        <f aca="true" t="shared" si="21" ref="H55:T55">+H56</f>
        <v>2750874</v>
      </c>
      <c r="I55" s="191">
        <f t="shared" si="21"/>
        <v>1629640</v>
      </c>
      <c r="J55" s="191">
        <f t="shared" si="21"/>
        <v>2610000</v>
      </c>
      <c r="K55" s="191">
        <f t="shared" si="21"/>
        <v>4350000</v>
      </c>
      <c r="L55" s="191">
        <f t="shared" si="21"/>
        <v>6950000</v>
      </c>
      <c r="M55" s="191">
        <f t="shared" si="21"/>
        <v>11860000</v>
      </c>
      <c r="N55" s="191">
        <f t="shared" si="21"/>
        <v>9000000</v>
      </c>
      <c r="O55" s="192">
        <f t="shared" si="10"/>
        <v>36399640</v>
      </c>
      <c r="P55" s="198">
        <f t="shared" si="21"/>
        <v>0</v>
      </c>
      <c r="Q55" s="191">
        <f t="shared" si="21"/>
        <v>0</v>
      </c>
      <c r="R55" s="191">
        <f t="shared" si="21"/>
        <v>0</v>
      </c>
      <c r="S55" s="191">
        <f t="shared" si="21"/>
        <v>0</v>
      </c>
      <c r="T55" s="191">
        <f t="shared" si="21"/>
        <v>0</v>
      </c>
      <c r="U55" s="211">
        <f t="shared" si="20"/>
        <v>0</v>
      </c>
    </row>
    <row r="56" spans="1:21" ht="18" customHeight="1">
      <c r="A56" s="189" t="s">
        <v>151</v>
      </c>
      <c r="B56" s="194"/>
      <c r="C56" s="194"/>
      <c r="D56" s="194"/>
      <c r="E56" s="290" t="s">
        <v>130</v>
      </c>
      <c r="F56" s="291"/>
      <c r="G56" s="191">
        <f aca="true" t="shared" si="22" ref="G56:N56">SUM(G57:G68)</f>
        <v>39150514</v>
      </c>
      <c r="H56" s="191">
        <f t="shared" si="22"/>
        <v>2750874</v>
      </c>
      <c r="I56" s="191">
        <f t="shared" si="22"/>
        <v>1629640</v>
      </c>
      <c r="J56" s="191">
        <f t="shared" si="22"/>
        <v>2610000</v>
      </c>
      <c r="K56" s="191">
        <f t="shared" si="22"/>
        <v>4350000</v>
      </c>
      <c r="L56" s="191">
        <f t="shared" si="22"/>
        <v>6950000</v>
      </c>
      <c r="M56" s="191">
        <f t="shared" si="22"/>
        <v>11860000</v>
      </c>
      <c r="N56" s="191">
        <f t="shared" si="22"/>
        <v>9000000</v>
      </c>
      <c r="O56" s="192">
        <f t="shared" si="10"/>
        <v>36399640</v>
      </c>
      <c r="P56" s="210"/>
      <c r="Q56" s="204"/>
      <c r="R56" s="204"/>
      <c r="S56" s="204"/>
      <c r="T56" s="204"/>
      <c r="U56" s="211">
        <f t="shared" si="20"/>
        <v>0</v>
      </c>
    </row>
    <row r="57" spans="1:21" ht="25.5">
      <c r="A57" s="195" t="s">
        <v>152</v>
      </c>
      <c r="B57" s="194" t="s">
        <v>128</v>
      </c>
      <c r="C57" s="194"/>
      <c r="D57" s="194">
        <v>2011</v>
      </c>
      <c r="E57" s="194">
        <v>600</v>
      </c>
      <c r="F57" s="194">
        <v>60016</v>
      </c>
      <c r="G57" s="191">
        <f aca="true" t="shared" si="23" ref="G57:G75">SUM(H57:N57)</f>
        <v>3065000</v>
      </c>
      <c r="H57" s="192">
        <v>0</v>
      </c>
      <c r="I57" s="192">
        <v>65000</v>
      </c>
      <c r="J57" s="192"/>
      <c r="K57" s="192">
        <f>1000000-250000</f>
        <v>750000</v>
      </c>
      <c r="L57" s="192">
        <f>2000000+250000</f>
        <v>2250000</v>
      </c>
      <c r="M57" s="192"/>
      <c r="N57" s="192"/>
      <c r="O57" s="192">
        <f t="shared" si="10"/>
        <v>3065000</v>
      </c>
      <c r="P57" s="210"/>
      <c r="Q57" s="204"/>
      <c r="R57" s="204"/>
      <c r="S57" s="204"/>
      <c r="T57" s="204"/>
      <c r="U57" s="211">
        <f t="shared" si="20"/>
        <v>0</v>
      </c>
    </row>
    <row r="58" spans="1:21" ht="38.25">
      <c r="A58" s="195" t="s">
        <v>153</v>
      </c>
      <c r="B58" s="99" t="s">
        <v>128</v>
      </c>
      <c r="C58" s="99"/>
      <c r="D58" s="99">
        <v>2012</v>
      </c>
      <c r="E58" s="99">
        <v>600</v>
      </c>
      <c r="F58" s="99">
        <v>60016</v>
      </c>
      <c r="G58" s="191">
        <f t="shared" si="23"/>
        <v>2084424</v>
      </c>
      <c r="H58" s="192">
        <v>84424</v>
      </c>
      <c r="I58" s="192">
        <v>200000</v>
      </c>
      <c r="J58" s="192">
        <f>800000-50000+150000</f>
        <v>900000</v>
      </c>
      <c r="K58" s="192">
        <f>1000000+50000-150000</f>
        <v>900000</v>
      </c>
      <c r="L58" s="192"/>
      <c r="M58" s="192"/>
      <c r="N58" s="192"/>
      <c r="O58" s="192">
        <f t="shared" si="10"/>
        <v>2000000</v>
      </c>
      <c r="P58" s="210"/>
      <c r="Q58" s="204"/>
      <c r="R58" s="204"/>
      <c r="S58" s="204"/>
      <c r="T58" s="204"/>
      <c r="U58" s="211">
        <f t="shared" si="20"/>
        <v>0</v>
      </c>
    </row>
    <row r="59" spans="1:21" ht="25.5">
      <c r="A59" s="195" t="s">
        <v>154</v>
      </c>
      <c r="B59" s="194" t="s">
        <v>128</v>
      </c>
      <c r="C59" s="194"/>
      <c r="D59" s="194">
        <v>2011</v>
      </c>
      <c r="E59" s="194">
        <v>600</v>
      </c>
      <c r="F59" s="194">
        <v>60016</v>
      </c>
      <c r="G59" s="191">
        <f t="shared" si="23"/>
        <v>892700</v>
      </c>
      <c r="H59" s="192">
        <v>42700</v>
      </c>
      <c r="I59" s="192"/>
      <c r="J59" s="192">
        <f>850000-250000</f>
        <v>600000</v>
      </c>
      <c r="K59" s="192">
        <v>250000</v>
      </c>
      <c r="L59" s="192"/>
      <c r="M59" s="192"/>
      <c r="N59" s="192"/>
      <c r="O59" s="192">
        <f t="shared" si="10"/>
        <v>850000</v>
      </c>
      <c r="P59" s="210"/>
      <c r="Q59" s="204"/>
      <c r="R59" s="204"/>
      <c r="S59" s="204"/>
      <c r="T59" s="204"/>
      <c r="U59" s="211">
        <f t="shared" si="20"/>
        <v>0</v>
      </c>
    </row>
    <row r="60" spans="1:21" ht="25.5">
      <c r="A60" s="195" t="s">
        <v>155</v>
      </c>
      <c r="B60" s="194" t="s">
        <v>128</v>
      </c>
      <c r="C60" s="194"/>
      <c r="D60" s="194">
        <v>2011</v>
      </c>
      <c r="E60" s="194">
        <v>600</v>
      </c>
      <c r="F60" s="194">
        <v>60016</v>
      </c>
      <c r="G60" s="191">
        <f t="shared" si="23"/>
        <v>1014640</v>
      </c>
      <c r="H60" s="192">
        <v>0</v>
      </c>
      <c r="I60" s="192">
        <v>14640</v>
      </c>
      <c r="J60" s="192"/>
      <c r="K60" s="192">
        <v>1000000</v>
      </c>
      <c r="L60" s="192"/>
      <c r="M60" s="192"/>
      <c r="N60" s="192"/>
      <c r="O60" s="192">
        <f t="shared" si="10"/>
        <v>1014640</v>
      </c>
      <c r="P60" s="210"/>
      <c r="Q60" s="204"/>
      <c r="R60" s="204"/>
      <c r="S60" s="204"/>
      <c r="T60" s="204"/>
      <c r="U60" s="211">
        <f t="shared" si="20"/>
        <v>0</v>
      </c>
    </row>
    <row r="61" spans="1:21" ht="25.5">
      <c r="A61" s="195" t="s">
        <v>156</v>
      </c>
      <c r="B61" s="194" t="s">
        <v>128</v>
      </c>
      <c r="C61" s="194"/>
      <c r="D61" s="194">
        <v>2011</v>
      </c>
      <c r="E61" s="194">
        <v>600</v>
      </c>
      <c r="F61" s="194">
        <v>60016</v>
      </c>
      <c r="G61" s="191">
        <f t="shared" si="23"/>
        <v>930000</v>
      </c>
      <c r="H61" s="192">
        <v>30000</v>
      </c>
      <c r="I61" s="192">
        <v>100000</v>
      </c>
      <c r="J61" s="192">
        <v>800000</v>
      </c>
      <c r="K61" s="192"/>
      <c r="L61" s="192"/>
      <c r="M61" s="192"/>
      <c r="N61" s="192"/>
      <c r="O61" s="192">
        <f t="shared" si="10"/>
        <v>900000</v>
      </c>
      <c r="P61" s="210"/>
      <c r="Q61" s="204"/>
      <c r="R61" s="204"/>
      <c r="S61" s="204"/>
      <c r="T61" s="204"/>
      <c r="U61" s="211">
        <f t="shared" si="20"/>
        <v>0</v>
      </c>
    </row>
    <row r="62" spans="1:21" ht="38.25">
      <c r="A62" s="195" t="s">
        <v>157</v>
      </c>
      <c r="B62" s="194" t="s">
        <v>128</v>
      </c>
      <c r="C62" s="194">
        <v>2009</v>
      </c>
      <c r="D62" s="194">
        <v>2012</v>
      </c>
      <c r="E62" s="194">
        <v>700</v>
      </c>
      <c r="F62" s="194">
        <v>70095</v>
      </c>
      <c r="G62" s="191">
        <f t="shared" si="23"/>
        <v>860000</v>
      </c>
      <c r="H62" s="192"/>
      <c r="I62" s="192"/>
      <c r="J62" s="192">
        <v>60000</v>
      </c>
      <c r="K62" s="192">
        <v>800000</v>
      </c>
      <c r="L62" s="192"/>
      <c r="M62" s="192"/>
      <c r="N62" s="192"/>
      <c r="O62" s="192">
        <f t="shared" si="10"/>
        <v>860000</v>
      </c>
      <c r="P62" s="210"/>
      <c r="Q62" s="204"/>
      <c r="R62" s="204"/>
      <c r="S62" s="204"/>
      <c r="T62" s="204"/>
      <c r="U62" s="211">
        <f t="shared" si="20"/>
        <v>0</v>
      </c>
    </row>
    <row r="63" spans="1:21" ht="12.75">
      <c r="A63" s="195" t="s">
        <v>158</v>
      </c>
      <c r="B63" s="194"/>
      <c r="C63" s="194"/>
      <c r="D63" s="194"/>
      <c r="E63" s="194">
        <v>900</v>
      </c>
      <c r="F63" s="194">
        <v>90001</v>
      </c>
      <c r="G63" s="191">
        <f t="shared" si="23"/>
        <v>2150000</v>
      </c>
      <c r="H63" s="192">
        <v>0</v>
      </c>
      <c r="I63" s="192"/>
      <c r="J63" s="192">
        <v>150000</v>
      </c>
      <c r="K63" s="192"/>
      <c r="L63" s="192">
        <f>2000000-800000</f>
        <v>1200000</v>
      </c>
      <c r="M63" s="192">
        <v>800000</v>
      </c>
      <c r="N63" s="192"/>
      <c r="O63" s="192">
        <f t="shared" si="10"/>
        <v>2150000</v>
      </c>
      <c r="P63" s="210"/>
      <c r="Q63" s="204"/>
      <c r="R63" s="204"/>
      <c r="S63" s="204"/>
      <c r="T63" s="204"/>
      <c r="U63" s="211">
        <f t="shared" si="20"/>
        <v>0</v>
      </c>
    </row>
    <row r="64" spans="1:21" ht="25.5">
      <c r="A64" s="195" t="s">
        <v>159</v>
      </c>
      <c r="B64" s="194" t="s">
        <v>128</v>
      </c>
      <c r="C64" s="194"/>
      <c r="D64" s="194">
        <v>2011</v>
      </c>
      <c r="E64" s="194">
        <v>900</v>
      </c>
      <c r="F64" s="194">
        <v>90001</v>
      </c>
      <c r="G64" s="191">
        <f t="shared" si="23"/>
        <v>3210000</v>
      </c>
      <c r="H64" s="192">
        <v>0</v>
      </c>
      <c r="I64" s="192"/>
      <c r="J64" s="192"/>
      <c r="K64" s="192">
        <v>150000</v>
      </c>
      <c r="L64" s="192">
        <v>0</v>
      </c>
      <c r="M64" s="192">
        <f>3000000+1000000-940000</f>
        <v>3060000</v>
      </c>
      <c r="N64" s="192"/>
      <c r="O64" s="192">
        <f t="shared" si="10"/>
        <v>3210000</v>
      </c>
      <c r="P64" s="210"/>
      <c r="Q64" s="204"/>
      <c r="R64" s="204"/>
      <c r="S64" s="204"/>
      <c r="T64" s="204"/>
      <c r="U64" s="211">
        <f t="shared" si="20"/>
        <v>0</v>
      </c>
    </row>
    <row r="65" spans="1:21" ht="38.25">
      <c r="A65" s="195" t="s">
        <v>160</v>
      </c>
      <c r="B65" s="194" t="s">
        <v>128</v>
      </c>
      <c r="C65" s="194">
        <v>2011</v>
      </c>
      <c r="D65" s="194">
        <v>2012</v>
      </c>
      <c r="E65" s="194"/>
      <c r="F65" s="194"/>
      <c r="G65" s="191">
        <f t="shared" si="23"/>
        <v>1100000</v>
      </c>
      <c r="H65" s="192">
        <v>0</v>
      </c>
      <c r="I65" s="192"/>
      <c r="J65" s="192">
        <v>100000</v>
      </c>
      <c r="K65" s="192">
        <v>500000</v>
      </c>
      <c r="L65" s="192">
        <v>500000</v>
      </c>
      <c r="M65" s="192"/>
      <c r="N65" s="192"/>
      <c r="O65" s="192">
        <f t="shared" si="10"/>
        <v>1100000</v>
      </c>
      <c r="P65" s="210"/>
      <c r="Q65" s="204"/>
      <c r="R65" s="204"/>
      <c r="S65" s="204"/>
      <c r="T65" s="204"/>
      <c r="U65" s="211">
        <f t="shared" si="20"/>
        <v>0</v>
      </c>
    </row>
    <row r="66" spans="1:21" ht="12.75">
      <c r="A66" s="195" t="s">
        <v>161</v>
      </c>
      <c r="B66" s="194" t="s">
        <v>128</v>
      </c>
      <c r="C66" s="194"/>
      <c r="D66" s="194">
        <v>2011</v>
      </c>
      <c r="E66" s="194">
        <v>700</v>
      </c>
      <c r="F66" s="194">
        <v>70095</v>
      </c>
      <c r="G66" s="191">
        <f t="shared" si="23"/>
        <v>2418408</v>
      </c>
      <c r="H66" s="192">
        <v>1918408</v>
      </c>
      <c r="I66" s="192">
        <v>500000</v>
      </c>
      <c r="J66" s="192"/>
      <c r="K66" s="192"/>
      <c r="L66" s="192"/>
      <c r="M66" s="192"/>
      <c r="N66" s="192"/>
      <c r="O66" s="192">
        <f t="shared" si="10"/>
        <v>500000</v>
      </c>
      <c r="P66" s="210">
        <v>440000</v>
      </c>
      <c r="Q66" s="204"/>
      <c r="R66" s="204"/>
      <c r="S66" s="204"/>
      <c r="T66" s="204"/>
      <c r="U66" s="211">
        <f t="shared" si="20"/>
        <v>440000</v>
      </c>
    </row>
    <row r="67" spans="1:21" ht="25.5">
      <c r="A67" s="195" t="s">
        <v>162</v>
      </c>
      <c r="B67" s="194" t="s">
        <v>128</v>
      </c>
      <c r="C67" s="194">
        <v>2011</v>
      </c>
      <c r="D67" s="194">
        <v>2014</v>
      </c>
      <c r="E67" s="194">
        <v>926</v>
      </c>
      <c r="F67" s="194">
        <v>92601</v>
      </c>
      <c r="G67" s="191">
        <f t="shared" si="23"/>
        <v>20325342</v>
      </c>
      <c r="H67" s="192">
        <v>125342</v>
      </c>
      <c r="I67" s="192">
        <v>200000</v>
      </c>
      <c r="J67" s="192"/>
      <c r="K67" s="192"/>
      <c r="L67" s="192">
        <v>3000000</v>
      </c>
      <c r="M67" s="192">
        <v>8000000</v>
      </c>
      <c r="N67" s="192">
        <v>9000000</v>
      </c>
      <c r="O67" s="192">
        <f t="shared" si="10"/>
        <v>20200000</v>
      </c>
      <c r="P67" s="210"/>
      <c r="Q67" s="204"/>
      <c r="R67" s="204"/>
      <c r="S67" s="204"/>
      <c r="T67" s="204"/>
      <c r="U67" s="211">
        <f t="shared" si="20"/>
        <v>0</v>
      </c>
    </row>
    <row r="68" spans="1:21" ht="38.25">
      <c r="A68" s="196" t="s">
        <v>163</v>
      </c>
      <c r="B68" s="194" t="s">
        <v>128</v>
      </c>
      <c r="C68" s="194">
        <v>2010</v>
      </c>
      <c r="D68" s="194">
        <v>2014</v>
      </c>
      <c r="E68" s="194">
        <v>900</v>
      </c>
      <c r="F68" s="194">
        <v>90095</v>
      </c>
      <c r="G68" s="191">
        <f t="shared" si="23"/>
        <v>1100000</v>
      </c>
      <c r="H68" s="192">
        <v>550000</v>
      </c>
      <c r="I68" s="192">
        <v>550000</v>
      </c>
      <c r="J68" s="192"/>
      <c r="K68" s="192"/>
      <c r="L68" s="192"/>
      <c r="M68" s="192"/>
      <c r="N68" s="192"/>
      <c r="O68" s="192">
        <f t="shared" si="10"/>
        <v>550000</v>
      </c>
      <c r="P68" s="210">
        <v>291900</v>
      </c>
      <c r="Q68" s="204"/>
      <c r="R68" s="204"/>
      <c r="S68" s="204"/>
      <c r="T68" s="204"/>
      <c r="U68" s="211">
        <f t="shared" si="20"/>
        <v>291900</v>
      </c>
    </row>
    <row r="69" spans="1:21" ht="39.75" customHeight="1">
      <c r="A69" s="282" t="s">
        <v>132</v>
      </c>
      <c r="B69" s="282"/>
      <c r="C69" s="282"/>
      <c r="D69" s="282"/>
      <c r="E69" s="282"/>
      <c r="F69" s="282"/>
      <c r="G69" s="191">
        <f>+G70+G72+G74</f>
        <v>1994051.71</v>
      </c>
      <c r="H69" s="191">
        <f>+H70+H72</f>
        <v>997025.67</v>
      </c>
      <c r="I69" s="191">
        <f aca="true" t="shared" si="24" ref="I69:N69">+I70+I72</f>
        <v>262201.72</v>
      </c>
      <c r="J69" s="191">
        <f t="shared" si="24"/>
        <v>262201.72</v>
      </c>
      <c r="K69" s="191">
        <f t="shared" si="24"/>
        <v>262201.72</v>
      </c>
      <c r="L69" s="191">
        <f t="shared" si="24"/>
        <v>105210.44</v>
      </c>
      <c r="M69" s="191">
        <f t="shared" si="24"/>
        <v>105210.44</v>
      </c>
      <c r="N69" s="191">
        <f t="shared" si="24"/>
        <v>0</v>
      </c>
      <c r="O69" s="191">
        <f t="shared" si="10"/>
        <v>997026.0399999998</v>
      </c>
      <c r="P69" s="210"/>
      <c r="Q69" s="204"/>
      <c r="R69" s="204"/>
      <c r="S69" s="204"/>
      <c r="T69" s="204"/>
      <c r="U69" s="211">
        <f t="shared" si="20"/>
        <v>0</v>
      </c>
    </row>
    <row r="70" spans="1:21" ht="12.75">
      <c r="A70" s="196" t="s">
        <v>133</v>
      </c>
      <c r="B70" s="194"/>
      <c r="C70" s="194"/>
      <c r="D70" s="194"/>
      <c r="E70" s="285" t="s">
        <v>130</v>
      </c>
      <c r="F70" s="285"/>
      <c r="G70" s="192">
        <f>SUM(H71:N71)</f>
        <v>941947.7100000001</v>
      </c>
      <c r="H70" s="192">
        <f>+H71</f>
        <v>470973.87</v>
      </c>
      <c r="I70" s="192">
        <f aca="true" t="shared" si="25" ref="I70:N70">+I71</f>
        <v>156991.28</v>
      </c>
      <c r="J70" s="192">
        <f t="shared" si="25"/>
        <v>156991.28</v>
      </c>
      <c r="K70" s="192">
        <f t="shared" si="25"/>
        <v>156991.28</v>
      </c>
      <c r="L70" s="192">
        <f t="shared" si="25"/>
        <v>0</v>
      </c>
      <c r="M70" s="192">
        <f t="shared" si="25"/>
        <v>0</v>
      </c>
      <c r="N70" s="192">
        <f t="shared" si="25"/>
        <v>0</v>
      </c>
      <c r="O70" s="192">
        <f>SUM(I70:N70)</f>
        <v>470973.83999999997</v>
      </c>
      <c r="P70" s="210"/>
      <c r="Q70" s="204"/>
      <c r="R70" s="204"/>
      <c r="S70" s="204"/>
      <c r="T70" s="204"/>
      <c r="U70" s="211"/>
    </row>
    <row r="71" spans="1:21" ht="25.5">
      <c r="A71" s="203" t="s">
        <v>164</v>
      </c>
      <c r="B71" s="109" t="s">
        <v>128</v>
      </c>
      <c r="C71" s="109">
        <v>2002</v>
      </c>
      <c r="D71" s="109">
        <v>2013</v>
      </c>
      <c r="E71" s="141">
        <v>700</v>
      </c>
      <c r="F71" s="141">
        <v>70005</v>
      </c>
      <c r="G71" s="204">
        <v>941947.71</v>
      </c>
      <c r="H71" s="192">
        <f>+G71-SUM(I71:M71)</f>
        <v>470973.87</v>
      </c>
      <c r="I71" s="192">
        <f>39247.82*4</f>
        <v>156991.28</v>
      </c>
      <c r="J71" s="192">
        <f>39247.82*4</f>
        <v>156991.28</v>
      </c>
      <c r="K71" s="192">
        <f>39247.82*4</f>
        <v>156991.28</v>
      </c>
      <c r="L71" s="192"/>
      <c r="M71" s="192"/>
      <c r="N71" s="192"/>
      <c r="O71" s="192">
        <f>SUM(I71:N71)</f>
        <v>470973.83999999997</v>
      </c>
      <c r="P71" s="210"/>
      <c r="Q71" s="204"/>
      <c r="R71" s="204"/>
      <c r="S71" s="204"/>
      <c r="T71" s="204"/>
      <c r="U71" s="211">
        <f>SUM(P71:T71)</f>
        <v>0</v>
      </c>
    </row>
    <row r="72" spans="1:21" ht="12.75">
      <c r="A72" s="196" t="s">
        <v>165</v>
      </c>
      <c r="B72" s="194"/>
      <c r="C72" s="194"/>
      <c r="D72" s="194"/>
      <c r="E72" s="285" t="s">
        <v>130</v>
      </c>
      <c r="F72" s="285"/>
      <c r="G72" s="192">
        <f>+G73</f>
        <v>1052104</v>
      </c>
      <c r="H72" s="192">
        <f>+H73</f>
        <v>526051.8</v>
      </c>
      <c r="I72" s="192">
        <f aca="true" t="shared" si="26" ref="I72:N72">+I73</f>
        <v>105210.44</v>
      </c>
      <c r="J72" s="192">
        <f t="shared" si="26"/>
        <v>105210.44</v>
      </c>
      <c r="K72" s="192">
        <f t="shared" si="26"/>
        <v>105210.44</v>
      </c>
      <c r="L72" s="192">
        <f t="shared" si="26"/>
        <v>105210.44</v>
      </c>
      <c r="M72" s="192">
        <f t="shared" si="26"/>
        <v>105210.44</v>
      </c>
      <c r="N72" s="192">
        <f t="shared" si="26"/>
        <v>0</v>
      </c>
      <c r="O72" s="192">
        <f>SUM(I72:N72)</f>
        <v>526052.2</v>
      </c>
      <c r="P72" s="210"/>
      <c r="Q72" s="204"/>
      <c r="R72" s="204"/>
      <c r="S72" s="204"/>
      <c r="T72" s="204"/>
      <c r="U72" s="211">
        <f>SUM(P72:T72)</f>
        <v>0</v>
      </c>
    </row>
    <row r="73" spans="1:21" ht="25.5">
      <c r="A73" s="203" t="s">
        <v>164</v>
      </c>
      <c r="B73" s="109" t="s">
        <v>128</v>
      </c>
      <c r="C73" s="109">
        <v>2005</v>
      </c>
      <c r="D73" s="109">
        <v>2016</v>
      </c>
      <c r="E73" s="141">
        <v>700</v>
      </c>
      <c r="F73" s="141">
        <v>70005</v>
      </c>
      <c r="G73" s="204">
        <v>1052104</v>
      </c>
      <c r="H73" s="192">
        <f>+G73-SUM(I73:M73)</f>
        <v>526051.8</v>
      </c>
      <c r="I73" s="192">
        <f>26302.61*4</f>
        <v>105210.44</v>
      </c>
      <c r="J73" s="192">
        <f>26302.61*4</f>
        <v>105210.44</v>
      </c>
      <c r="K73" s="192">
        <f>26302.61*4</f>
        <v>105210.44</v>
      </c>
      <c r="L73" s="192">
        <f>26302.61*4</f>
        <v>105210.44</v>
      </c>
      <c r="M73" s="192">
        <f>26302.61*4</f>
        <v>105210.44</v>
      </c>
      <c r="N73" s="192"/>
      <c r="O73" s="192">
        <f>SUM(I73:N73)</f>
        <v>526052.2</v>
      </c>
      <c r="P73" s="210"/>
      <c r="Q73" s="204"/>
      <c r="R73" s="204"/>
      <c r="S73" s="204"/>
      <c r="T73" s="204"/>
      <c r="U73" s="211"/>
    </row>
    <row r="74" spans="1:21" ht="12.75">
      <c r="A74" s="194" t="s">
        <v>166</v>
      </c>
      <c r="B74" s="194"/>
      <c r="C74" s="194"/>
      <c r="D74" s="194"/>
      <c r="E74" s="285" t="s">
        <v>130</v>
      </c>
      <c r="F74" s="285"/>
      <c r="G74" s="191">
        <f t="shared" si="23"/>
        <v>0</v>
      </c>
      <c r="H74" s="192"/>
      <c r="I74" s="192"/>
      <c r="J74" s="192"/>
      <c r="K74" s="192"/>
      <c r="L74" s="192"/>
      <c r="M74" s="192"/>
      <c r="N74" s="192"/>
      <c r="O74" s="192">
        <f t="shared" si="10"/>
        <v>0</v>
      </c>
      <c r="P74" s="210"/>
      <c r="Q74" s="204"/>
      <c r="R74" s="204"/>
      <c r="S74" s="204"/>
      <c r="T74" s="204"/>
      <c r="U74" s="211">
        <f t="shared" si="20"/>
        <v>0</v>
      </c>
    </row>
    <row r="75" spans="1:21" ht="12.75">
      <c r="A75" s="194"/>
      <c r="B75" s="194"/>
      <c r="C75" s="194"/>
      <c r="D75" s="194"/>
      <c r="E75" s="194"/>
      <c r="F75" s="194"/>
      <c r="G75" s="191">
        <f t="shared" si="23"/>
        <v>0</v>
      </c>
      <c r="H75" s="192"/>
      <c r="I75" s="192"/>
      <c r="J75" s="192"/>
      <c r="K75" s="192"/>
      <c r="L75" s="192"/>
      <c r="M75" s="192"/>
      <c r="N75" s="192"/>
      <c r="O75" s="192">
        <f t="shared" si="10"/>
        <v>0</v>
      </c>
      <c r="P75" s="210"/>
      <c r="Q75" s="204"/>
      <c r="R75" s="204"/>
      <c r="S75" s="204"/>
      <c r="T75" s="204"/>
      <c r="U75" s="211">
        <f t="shared" si="20"/>
        <v>0</v>
      </c>
    </row>
    <row r="76" spans="7:21" ht="12.75">
      <c r="G76" s="205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</row>
    <row r="77" spans="7:21" ht="12.75">
      <c r="G77" s="205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</row>
    <row r="78" spans="7:21" ht="12.75">
      <c r="G78" s="205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</row>
    <row r="79" spans="7:21" ht="12.75">
      <c r="G79" s="205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</row>
  </sheetData>
  <mergeCells count="36">
    <mergeCell ref="A69:F69"/>
    <mergeCell ref="E70:F70"/>
    <mergeCell ref="E72:F72"/>
    <mergeCell ref="E74:F74"/>
    <mergeCell ref="A52:F52"/>
    <mergeCell ref="E53:F53"/>
    <mergeCell ref="A55:F55"/>
    <mergeCell ref="E56:F56"/>
    <mergeCell ref="A35:F35"/>
    <mergeCell ref="A37:F37"/>
    <mergeCell ref="A38:F38"/>
    <mergeCell ref="E39:F39"/>
    <mergeCell ref="A26:F26"/>
    <mergeCell ref="E27:F27"/>
    <mergeCell ref="A31:F31"/>
    <mergeCell ref="E32:F32"/>
    <mergeCell ref="A20:F20"/>
    <mergeCell ref="E21:F21"/>
    <mergeCell ref="A23:F23"/>
    <mergeCell ref="E24:F24"/>
    <mergeCell ref="A13:F13"/>
    <mergeCell ref="A15:F15"/>
    <mergeCell ref="A16:F16"/>
    <mergeCell ref="E17:F17"/>
    <mergeCell ref="A11:F11"/>
    <mergeCell ref="G6:G7"/>
    <mergeCell ref="H6:H7"/>
    <mergeCell ref="I6:N7"/>
    <mergeCell ref="A6:A7"/>
    <mergeCell ref="B6:B7"/>
    <mergeCell ref="C6:D6"/>
    <mergeCell ref="E6:F7"/>
    <mergeCell ref="P6:T7"/>
    <mergeCell ref="U6:U7"/>
    <mergeCell ref="C7:D7"/>
    <mergeCell ref="O6:O7"/>
  </mergeCells>
  <printOptions horizontalCentered="1"/>
  <pageMargins left="0.2362204724409449" right="0.31496062992125984" top="0.35433070866141736" bottom="0.4724409448818898" header="0.1968503937007874" footer="0.15748031496062992"/>
  <pageSetup fitToHeight="3" fitToWidth="1" horizontalDpi="600" verticalDpi="600" orientation="landscape" paperSize="9" scale="77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workbookViewId="0" topLeftCell="A1">
      <selection activeCell="A17" sqref="A17"/>
    </sheetView>
  </sheetViews>
  <sheetFormatPr defaultColWidth="8.88671875" defaultRowHeight="18.75"/>
  <cols>
    <col min="1" max="1" width="39.88671875" style="13" customWidth="1"/>
    <col min="2" max="2" width="12.10546875" style="13" hidden="1" customWidth="1"/>
    <col min="3" max="3" width="7.5546875" style="13" hidden="1" customWidth="1"/>
    <col min="4" max="4" width="7.21484375" style="13" hidden="1" customWidth="1"/>
    <col min="5" max="6" width="6.4453125" style="13" hidden="1" customWidth="1"/>
    <col min="7" max="7" width="9.5546875" style="22" hidden="1" customWidth="1"/>
    <col min="8" max="8" width="10.3359375" style="13" hidden="1" customWidth="1"/>
    <col min="9" max="12" width="8.10546875" style="13" bestFit="1" customWidth="1"/>
    <col min="13" max="13" width="7.88671875" style="13" customWidth="1"/>
    <col min="14" max="18" width="8.99609375" style="13" bestFit="1" customWidth="1"/>
    <col min="19" max="19" width="8.6640625" style="13" customWidth="1"/>
    <col min="20" max="16384" width="8.88671875" style="13" customWidth="1"/>
  </cols>
  <sheetData>
    <row r="1" ht="15.75">
      <c r="L1" s="242"/>
    </row>
    <row r="2" spans="1:13" ht="15.75" customHeight="1">
      <c r="A2" s="292" t="s">
        <v>185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ht="15.75">
      <c r="L3" s="242"/>
    </row>
    <row r="4" spans="3:12" ht="18">
      <c r="C4" s="241" t="s">
        <v>176</v>
      </c>
      <c r="L4" s="242"/>
    </row>
    <row r="5" spans="1:13" ht="13.5" thickBot="1">
      <c r="A5" s="132"/>
      <c r="B5" s="133"/>
      <c r="C5" s="133"/>
      <c r="D5" s="133"/>
      <c r="E5" s="133"/>
      <c r="F5" s="133"/>
      <c r="G5" s="185"/>
      <c r="H5" s="133"/>
      <c r="I5" s="133"/>
      <c r="J5" s="133"/>
      <c r="K5" s="133"/>
      <c r="L5" s="133"/>
      <c r="M5" s="133"/>
    </row>
    <row r="6" spans="1:19" ht="25.5" customHeight="1">
      <c r="A6" s="279" t="s">
        <v>179</v>
      </c>
      <c r="B6" s="279" t="s">
        <v>107</v>
      </c>
      <c r="C6" s="279" t="s">
        <v>108</v>
      </c>
      <c r="D6" s="279"/>
      <c r="E6" s="279" t="s">
        <v>109</v>
      </c>
      <c r="F6" s="279"/>
      <c r="G6" s="279" t="s">
        <v>110</v>
      </c>
      <c r="H6" s="279" t="s">
        <v>111</v>
      </c>
      <c r="I6" s="279" t="s">
        <v>181</v>
      </c>
      <c r="J6" s="279"/>
      <c r="K6" s="279"/>
      <c r="L6" s="279"/>
      <c r="M6" s="279"/>
      <c r="N6" s="276" t="s">
        <v>114</v>
      </c>
      <c r="O6" s="277"/>
      <c r="P6" s="277"/>
      <c r="Q6" s="277"/>
      <c r="R6" s="277"/>
      <c r="S6" s="280" t="s">
        <v>115</v>
      </c>
    </row>
    <row r="7" spans="1:19" ht="28.5" customHeight="1">
      <c r="A7" s="279"/>
      <c r="B7" s="279"/>
      <c r="C7" s="279" t="s">
        <v>116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8"/>
      <c r="O7" s="279"/>
      <c r="P7" s="279"/>
      <c r="Q7" s="279"/>
      <c r="R7" s="279"/>
      <c r="S7" s="281"/>
    </row>
    <row r="8" spans="1:19" ht="12.75">
      <c r="A8" s="186"/>
      <c r="B8" s="186"/>
      <c r="C8" s="186" t="s">
        <v>117</v>
      </c>
      <c r="D8" s="186" t="s">
        <v>118</v>
      </c>
      <c r="E8" s="186" t="s">
        <v>119</v>
      </c>
      <c r="F8" s="186" t="s">
        <v>120</v>
      </c>
      <c r="G8" s="186"/>
      <c r="H8" s="186"/>
      <c r="I8" s="186">
        <v>2011</v>
      </c>
      <c r="J8" s="186">
        <v>2012</v>
      </c>
      <c r="K8" s="186">
        <v>2013</v>
      </c>
      <c r="L8" s="186">
        <v>2014</v>
      </c>
      <c r="M8" s="186">
        <v>2015</v>
      </c>
      <c r="N8" s="187">
        <v>2011</v>
      </c>
      <c r="O8" s="186">
        <v>2012</v>
      </c>
      <c r="P8" s="186">
        <v>2013</v>
      </c>
      <c r="Q8" s="186">
        <v>2014</v>
      </c>
      <c r="R8" s="186" t="s">
        <v>121</v>
      </c>
      <c r="S8" s="188"/>
    </row>
    <row r="9" spans="1:19" s="226" customFormat="1" ht="11.2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  <c r="G9" s="206">
        <v>7</v>
      </c>
      <c r="H9" s="206">
        <v>8</v>
      </c>
      <c r="I9" s="206">
        <v>9</v>
      </c>
      <c r="J9" s="206">
        <v>10</v>
      </c>
      <c r="K9" s="206">
        <v>11</v>
      </c>
      <c r="L9" s="206">
        <v>12</v>
      </c>
      <c r="M9" s="206"/>
      <c r="N9" s="223"/>
      <c r="O9" s="224"/>
      <c r="P9" s="224"/>
      <c r="Q9" s="224"/>
      <c r="R9" s="224"/>
      <c r="S9" s="225">
        <f>SUM(N9:R9)</f>
        <v>0</v>
      </c>
    </row>
    <row r="10" spans="1:19" s="93" customFormat="1" ht="12.7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2"/>
      <c r="N10" s="207"/>
      <c r="O10" s="208"/>
      <c r="P10" s="208"/>
      <c r="Q10" s="208"/>
      <c r="R10" s="208"/>
      <c r="S10" s="209"/>
    </row>
    <row r="11" spans="1:19" ht="12.75">
      <c r="A11" s="282" t="s">
        <v>180</v>
      </c>
      <c r="B11" s="282"/>
      <c r="C11" s="282"/>
      <c r="D11" s="282"/>
      <c r="E11" s="282"/>
      <c r="F11" s="282"/>
      <c r="G11" s="191" t="e">
        <f>+G13+#REF!</f>
        <v>#REF!</v>
      </c>
      <c r="H11" s="191" t="e">
        <f>+H13+#REF!</f>
        <v>#REF!</v>
      </c>
      <c r="I11" s="191">
        <f>+I13+I15</f>
        <v>6627570</v>
      </c>
      <c r="J11" s="191">
        <f aca="true" t="shared" si="0" ref="J11:O11">+J13+J15</f>
        <v>2891210</v>
      </c>
      <c r="K11" s="191">
        <f t="shared" si="0"/>
        <v>2050000</v>
      </c>
      <c r="L11" s="191">
        <f t="shared" si="0"/>
        <v>3700000</v>
      </c>
      <c r="M11" s="191">
        <f t="shared" si="0"/>
        <v>280000</v>
      </c>
      <c r="N11" s="198">
        <f t="shared" si="0"/>
        <v>4619754</v>
      </c>
      <c r="O11" s="191">
        <f t="shared" si="0"/>
        <v>672335</v>
      </c>
      <c r="P11" s="204"/>
      <c r="Q11" s="204"/>
      <c r="R11" s="204"/>
      <c r="S11" s="211">
        <f>SUM(N11:R11)</f>
        <v>5292089</v>
      </c>
    </row>
    <row r="12" spans="1:19" ht="12.75">
      <c r="A12" s="190"/>
      <c r="B12" s="217"/>
      <c r="C12" s="218"/>
      <c r="D12" s="218"/>
      <c r="E12" s="218"/>
      <c r="F12" s="219"/>
      <c r="G12" s="191"/>
      <c r="H12" s="192"/>
      <c r="I12" s="192"/>
      <c r="J12" s="192"/>
      <c r="K12" s="192"/>
      <c r="L12" s="192"/>
      <c r="M12" s="192"/>
      <c r="N12" s="210"/>
      <c r="O12" s="204"/>
      <c r="P12" s="204"/>
      <c r="Q12" s="204"/>
      <c r="R12" s="204"/>
      <c r="S12" s="211"/>
    </row>
    <row r="13" spans="1:19" s="215" customFormat="1" ht="12.75">
      <c r="A13" s="283" t="s">
        <v>123</v>
      </c>
      <c r="B13" s="283"/>
      <c r="C13" s="283"/>
      <c r="D13" s="283"/>
      <c r="E13" s="283"/>
      <c r="F13" s="283"/>
      <c r="G13" s="193" t="e">
        <f>+#REF!+#REF!+#REF!</f>
        <v>#REF!</v>
      </c>
      <c r="H13" s="193" t="e">
        <f>+#REF!+#REF!+#REF!</f>
        <v>#REF!</v>
      </c>
      <c r="I13" s="193">
        <f aca="true" t="shared" si="1" ref="I13:O13">+I14</f>
        <v>607570</v>
      </c>
      <c r="J13" s="193">
        <f t="shared" si="1"/>
        <v>339710</v>
      </c>
      <c r="K13" s="193">
        <f t="shared" si="1"/>
        <v>0</v>
      </c>
      <c r="L13" s="193">
        <f t="shared" si="1"/>
        <v>0</v>
      </c>
      <c r="M13" s="193">
        <f t="shared" si="1"/>
        <v>0</v>
      </c>
      <c r="N13" s="265">
        <f t="shared" si="1"/>
        <v>607570</v>
      </c>
      <c r="O13" s="193">
        <f t="shared" si="1"/>
        <v>339710</v>
      </c>
      <c r="P13" s="213"/>
      <c r="Q13" s="213"/>
      <c r="R13" s="213"/>
      <c r="S13" s="214">
        <f>SUM(N13:R13)</f>
        <v>947280</v>
      </c>
    </row>
    <row r="14" spans="1:19" ht="12.75">
      <c r="A14" s="195" t="s">
        <v>127</v>
      </c>
      <c r="B14" s="194" t="s">
        <v>128</v>
      </c>
      <c r="C14" s="194">
        <v>2010</v>
      </c>
      <c r="D14" s="194">
        <v>2012</v>
      </c>
      <c r="E14" s="194">
        <v>801</v>
      </c>
      <c r="F14" s="194">
        <v>80195</v>
      </c>
      <c r="G14" s="191">
        <v>1209460</v>
      </c>
      <c r="H14" s="192">
        <v>262180</v>
      </c>
      <c r="I14" s="192">
        <v>607570</v>
      </c>
      <c r="J14" s="192">
        <v>339710</v>
      </c>
      <c r="K14" s="192"/>
      <c r="L14" s="192"/>
      <c r="M14" s="192"/>
      <c r="N14" s="266">
        <v>607570</v>
      </c>
      <c r="O14" s="192">
        <v>339710</v>
      </c>
      <c r="P14" s="204"/>
      <c r="Q14" s="204"/>
      <c r="R14" s="204"/>
      <c r="S14" s="211"/>
    </row>
    <row r="15" spans="1:19" ht="12.75">
      <c r="A15" s="282" t="s">
        <v>137</v>
      </c>
      <c r="B15" s="282"/>
      <c r="C15" s="282"/>
      <c r="D15" s="282"/>
      <c r="E15" s="282"/>
      <c r="F15" s="282"/>
      <c r="G15" s="191">
        <f aca="true" t="shared" si="2" ref="G15:M15">SUM(G16:G25)</f>
        <v>18506908</v>
      </c>
      <c r="H15" s="191">
        <f t="shared" si="2"/>
        <v>3905408</v>
      </c>
      <c r="I15" s="191">
        <f t="shared" si="2"/>
        <v>6020000</v>
      </c>
      <c r="J15" s="191">
        <f t="shared" si="2"/>
        <v>2551500</v>
      </c>
      <c r="K15" s="191">
        <f t="shared" si="2"/>
        <v>2050000</v>
      </c>
      <c r="L15" s="191">
        <f t="shared" si="2"/>
        <v>3700000</v>
      </c>
      <c r="M15" s="191">
        <f t="shared" si="2"/>
        <v>280000</v>
      </c>
      <c r="N15" s="198">
        <f aca="true" t="shared" si="3" ref="N15:S15">SUM(N16:N25)</f>
        <v>4012184</v>
      </c>
      <c r="O15" s="191">
        <f t="shared" si="3"/>
        <v>332625</v>
      </c>
      <c r="P15" s="191">
        <f t="shared" si="3"/>
        <v>0</v>
      </c>
      <c r="Q15" s="191">
        <f t="shared" si="3"/>
        <v>0</v>
      </c>
      <c r="R15" s="191">
        <f t="shared" si="3"/>
        <v>0</v>
      </c>
      <c r="S15" s="191">
        <f t="shared" si="3"/>
        <v>4344809</v>
      </c>
    </row>
    <row r="16" spans="1:19" ht="25.5">
      <c r="A16" s="195" t="s">
        <v>201</v>
      </c>
      <c r="B16" s="99" t="s">
        <v>128</v>
      </c>
      <c r="C16" s="99">
        <v>2009</v>
      </c>
      <c r="D16" s="99">
        <v>2011</v>
      </c>
      <c r="E16" s="99">
        <v>700</v>
      </c>
      <c r="F16" s="99">
        <v>70095</v>
      </c>
      <c r="G16" s="191">
        <f aca="true" t="shared" si="4" ref="G16:G25">SUM(H16:M16)</f>
        <v>1109100</v>
      </c>
      <c r="H16" s="192">
        <v>109100</v>
      </c>
      <c r="I16" s="192">
        <v>900000</v>
      </c>
      <c r="J16" s="192">
        <v>100000</v>
      </c>
      <c r="K16" s="192"/>
      <c r="L16" s="192"/>
      <c r="M16" s="192"/>
      <c r="N16" s="210">
        <v>700000</v>
      </c>
      <c r="O16" s="204">
        <v>90000</v>
      </c>
      <c r="P16" s="204"/>
      <c r="Q16" s="204"/>
      <c r="R16" s="204"/>
      <c r="S16" s="211">
        <f aca="true" t="shared" si="5" ref="S16:S25">SUM(N16:R16)</f>
        <v>790000</v>
      </c>
    </row>
    <row r="17" spans="1:19" ht="38.25">
      <c r="A17" s="195" t="s">
        <v>141</v>
      </c>
      <c r="B17" s="99" t="s">
        <v>128</v>
      </c>
      <c r="C17" s="99">
        <v>2009</v>
      </c>
      <c r="D17" s="99">
        <v>2012</v>
      </c>
      <c r="E17" s="99">
        <v>700</v>
      </c>
      <c r="F17" s="99">
        <v>70095</v>
      </c>
      <c r="G17" s="191">
        <f t="shared" si="4"/>
        <v>1858291</v>
      </c>
      <c r="H17" s="192">
        <v>238291</v>
      </c>
      <c r="I17" s="192">
        <v>1350000</v>
      </c>
      <c r="J17" s="192">
        <v>270000</v>
      </c>
      <c r="K17" s="192"/>
      <c r="L17" s="192"/>
      <c r="M17" s="192"/>
      <c r="N17" s="210">
        <v>420000</v>
      </c>
      <c r="O17" s="204">
        <v>85000</v>
      </c>
      <c r="P17" s="204"/>
      <c r="Q17" s="204"/>
      <c r="R17" s="204"/>
      <c r="S17" s="211">
        <f t="shared" si="5"/>
        <v>505000</v>
      </c>
    </row>
    <row r="18" spans="1:19" ht="51">
      <c r="A18" s="195" t="s">
        <v>142</v>
      </c>
      <c r="B18" s="99" t="s">
        <v>128</v>
      </c>
      <c r="C18" s="99">
        <v>2009</v>
      </c>
      <c r="D18" s="99">
        <v>2012</v>
      </c>
      <c r="E18" s="99">
        <v>700</v>
      </c>
      <c r="F18" s="99">
        <v>70095</v>
      </c>
      <c r="G18" s="191">
        <f t="shared" si="4"/>
        <v>1158257</v>
      </c>
      <c r="H18" s="192">
        <v>128257</v>
      </c>
      <c r="I18" s="192">
        <v>450000</v>
      </c>
      <c r="J18" s="192">
        <v>580000</v>
      </c>
      <c r="K18" s="192"/>
      <c r="L18" s="192"/>
      <c r="M18" s="192"/>
      <c r="N18" s="210">
        <v>250000</v>
      </c>
      <c r="O18" s="204">
        <v>157625</v>
      </c>
      <c r="P18" s="204"/>
      <c r="Q18" s="204"/>
      <c r="R18" s="204"/>
      <c r="S18" s="211">
        <f t="shared" si="5"/>
        <v>407625</v>
      </c>
    </row>
    <row r="19" spans="1:19" ht="12.75">
      <c r="A19" s="195" t="s">
        <v>143</v>
      </c>
      <c r="B19" s="99" t="s">
        <v>128</v>
      </c>
      <c r="C19" s="99">
        <v>2009</v>
      </c>
      <c r="D19" s="99">
        <v>2012</v>
      </c>
      <c r="E19" s="99">
        <v>700</v>
      </c>
      <c r="F19" s="99">
        <v>70095</v>
      </c>
      <c r="G19" s="191">
        <f t="shared" si="4"/>
        <v>528975</v>
      </c>
      <c r="H19" s="192">
        <v>28975</v>
      </c>
      <c r="I19" s="199"/>
      <c r="J19" s="192">
        <v>500000</v>
      </c>
      <c r="K19" s="192"/>
      <c r="L19" s="192"/>
      <c r="M19" s="192"/>
      <c r="N19" s="210">
        <v>350000</v>
      </c>
      <c r="O19" s="204"/>
      <c r="P19" s="204"/>
      <c r="Q19" s="204"/>
      <c r="R19" s="204"/>
      <c r="S19" s="211">
        <f t="shared" si="5"/>
        <v>350000</v>
      </c>
    </row>
    <row r="20" spans="1:19" ht="12.75">
      <c r="A20" s="195" t="s">
        <v>144</v>
      </c>
      <c r="B20" s="99" t="s">
        <v>128</v>
      </c>
      <c r="C20" s="99">
        <v>2009</v>
      </c>
      <c r="D20" s="99">
        <v>2012</v>
      </c>
      <c r="E20" s="99">
        <v>900</v>
      </c>
      <c r="F20" s="99">
        <v>90015</v>
      </c>
      <c r="G20" s="191">
        <f t="shared" si="4"/>
        <v>438263</v>
      </c>
      <c r="H20" s="192">
        <v>38263</v>
      </c>
      <c r="I20" s="192">
        <v>400000</v>
      </c>
      <c r="J20" s="192"/>
      <c r="K20" s="192"/>
      <c r="L20" s="192"/>
      <c r="M20" s="192"/>
      <c r="N20" s="210">
        <v>280000</v>
      </c>
      <c r="O20" s="204"/>
      <c r="P20" s="204"/>
      <c r="Q20" s="204"/>
      <c r="R20" s="204"/>
      <c r="S20" s="211">
        <f t="shared" si="5"/>
        <v>280000</v>
      </c>
    </row>
    <row r="21" spans="1:19" ht="38.25">
      <c r="A21" s="195" t="s">
        <v>145</v>
      </c>
      <c r="B21" s="99" t="s">
        <v>128</v>
      </c>
      <c r="C21" s="99">
        <v>2009</v>
      </c>
      <c r="D21" s="99">
        <v>2011</v>
      </c>
      <c r="E21" s="99">
        <v>600</v>
      </c>
      <c r="F21" s="99">
        <v>60016</v>
      </c>
      <c r="G21" s="191">
        <f t="shared" si="4"/>
        <v>1158259</v>
      </c>
      <c r="H21" s="192">
        <v>508259</v>
      </c>
      <c r="I21" s="192">
        <v>650000</v>
      </c>
      <c r="J21" s="192"/>
      <c r="K21" s="192"/>
      <c r="L21" s="192"/>
      <c r="M21" s="192"/>
      <c r="N21" s="210">
        <v>700000</v>
      </c>
      <c r="O21" s="204"/>
      <c r="P21" s="204"/>
      <c r="Q21" s="204"/>
      <c r="R21" s="204"/>
      <c r="S21" s="211">
        <f t="shared" si="5"/>
        <v>700000</v>
      </c>
    </row>
    <row r="22" spans="1:19" ht="38.25">
      <c r="A22" s="196" t="s">
        <v>146</v>
      </c>
      <c r="B22" s="99" t="s">
        <v>128</v>
      </c>
      <c r="C22" s="99">
        <v>2009</v>
      </c>
      <c r="D22" s="99">
        <v>2011</v>
      </c>
      <c r="E22" s="99">
        <v>754</v>
      </c>
      <c r="F22" s="99">
        <v>75412</v>
      </c>
      <c r="G22" s="191">
        <f t="shared" si="4"/>
        <v>1159357</v>
      </c>
      <c r="H22" s="192">
        <f>520000+69357</f>
        <v>589357</v>
      </c>
      <c r="I22" s="192">
        <v>570000</v>
      </c>
      <c r="J22" s="192"/>
      <c r="K22" s="192"/>
      <c r="L22" s="192"/>
      <c r="M22" s="192"/>
      <c r="N22" s="210">
        <v>373163</v>
      </c>
      <c r="O22" s="204"/>
      <c r="P22" s="204"/>
      <c r="Q22" s="204"/>
      <c r="R22" s="204"/>
      <c r="S22" s="211">
        <f t="shared" si="5"/>
        <v>373163</v>
      </c>
    </row>
    <row r="23" spans="1:19" ht="25.5">
      <c r="A23" s="200" t="s">
        <v>147</v>
      </c>
      <c r="B23" s="99" t="s">
        <v>128</v>
      </c>
      <c r="C23" s="99">
        <v>2009</v>
      </c>
      <c r="D23" s="99">
        <v>2011</v>
      </c>
      <c r="E23" s="99">
        <v>900</v>
      </c>
      <c r="F23" s="99">
        <v>90001</v>
      </c>
      <c r="G23" s="191">
        <f t="shared" si="4"/>
        <v>2800000</v>
      </c>
      <c r="H23" s="192">
        <v>2100000</v>
      </c>
      <c r="I23" s="192">
        <v>700000</v>
      </c>
      <c r="J23" s="192"/>
      <c r="K23" s="192"/>
      <c r="L23" s="192"/>
      <c r="M23" s="192"/>
      <c r="N23" s="210">
        <v>939021</v>
      </c>
      <c r="O23" s="204"/>
      <c r="P23" s="204"/>
      <c r="Q23" s="204"/>
      <c r="R23" s="204"/>
      <c r="S23" s="211">
        <f t="shared" si="5"/>
        <v>939021</v>
      </c>
    </row>
    <row r="24" spans="1:19" ht="25.5">
      <c r="A24" s="195" t="s">
        <v>148</v>
      </c>
      <c r="B24" s="99" t="s">
        <v>128</v>
      </c>
      <c r="C24" s="99">
        <v>2009</v>
      </c>
      <c r="D24" s="99">
        <v>2015</v>
      </c>
      <c r="E24" s="99">
        <v>750</v>
      </c>
      <c r="F24" s="99">
        <v>75023</v>
      </c>
      <c r="G24" s="191">
        <f t="shared" si="4"/>
        <v>6197936</v>
      </c>
      <c r="H24" s="192">
        <v>117936</v>
      </c>
      <c r="I24" s="192"/>
      <c r="J24" s="192">
        <v>50000</v>
      </c>
      <c r="K24" s="192">
        <v>2050000</v>
      </c>
      <c r="L24" s="192">
        <v>3700000</v>
      </c>
      <c r="M24" s="192">
        <v>280000</v>
      </c>
      <c r="N24" s="210"/>
      <c r="O24" s="204"/>
      <c r="P24" s="204"/>
      <c r="Q24" s="204"/>
      <c r="R24" s="204"/>
      <c r="S24" s="211">
        <f t="shared" si="5"/>
        <v>0</v>
      </c>
    </row>
    <row r="25" spans="1:19" ht="38.25">
      <c r="A25" s="195" t="s">
        <v>200</v>
      </c>
      <c r="B25" s="99" t="s">
        <v>128</v>
      </c>
      <c r="C25" s="99">
        <v>2010</v>
      </c>
      <c r="D25" s="99">
        <v>2012</v>
      </c>
      <c r="E25" s="99">
        <v>600</v>
      </c>
      <c r="F25" s="99">
        <v>60016</v>
      </c>
      <c r="G25" s="191">
        <f t="shared" si="4"/>
        <v>2098470</v>
      </c>
      <c r="H25" s="192">
        <v>46970</v>
      </c>
      <c r="I25" s="192">
        <v>1000000</v>
      </c>
      <c r="J25" s="192">
        <v>1051500</v>
      </c>
      <c r="K25" s="192"/>
      <c r="L25" s="192"/>
      <c r="M25" s="192"/>
      <c r="N25" s="210"/>
      <c r="O25" s="204"/>
      <c r="P25" s="204"/>
      <c r="Q25" s="204"/>
      <c r="R25" s="204"/>
      <c r="S25" s="211">
        <f t="shared" si="5"/>
        <v>0</v>
      </c>
    </row>
    <row r="26" spans="7:19" ht="12.75">
      <c r="G26" s="20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</row>
    <row r="27" spans="14:19" ht="12.75">
      <c r="N27" s="216"/>
      <c r="O27" s="216"/>
      <c r="P27" s="216"/>
      <c r="Q27" s="216"/>
      <c r="R27" s="216"/>
      <c r="S27" s="216"/>
    </row>
    <row r="28" spans="14:19" ht="12.75">
      <c r="N28" s="216"/>
      <c r="O28" s="216"/>
      <c r="P28" s="216"/>
      <c r="Q28" s="216"/>
      <c r="R28" s="216"/>
      <c r="S28" s="216"/>
    </row>
    <row r="31" ht="18">
      <c r="A31" s="258" t="s">
        <v>186</v>
      </c>
    </row>
    <row r="33" ht="15">
      <c r="A33" s="259" t="s">
        <v>197</v>
      </c>
    </row>
    <row r="34" ht="15">
      <c r="A34" s="259" t="s">
        <v>187</v>
      </c>
    </row>
    <row r="36" spans="1:9" ht="15.75">
      <c r="A36" s="260" t="s">
        <v>2</v>
      </c>
      <c r="B36" s="260"/>
      <c r="C36" s="260"/>
      <c r="D36" s="260"/>
      <c r="E36" s="260"/>
      <c r="F36" s="260"/>
      <c r="G36" s="261"/>
      <c r="H36" s="260"/>
      <c r="I36" s="260" t="s">
        <v>189</v>
      </c>
    </row>
    <row r="37" spans="1:9" ht="15.75">
      <c r="A37" s="262" t="s">
        <v>188</v>
      </c>
      <c r="B37" s="262"/>
      <c r="C37" s="262"/>
      <c r="D37" s="262"/>
      <c r="E37" s="262"/>
      <c r="F37" s="262"/>
      <c r="G37" s="263"/>
      <c r="H37" s="262"/>
      <c r="I37" s="264">
        <v>2500</v>
      </c>
    </row>
    <row r="38" spans="1:9" ht="15.75">
      <c r="A38" s="262" t="s">
        <v>190</v>
      </c>
      <c r="B38" s="262"/>
      <c r="C38" s="262"/>
      <c r="D38" s="262"/>
      <c r="E38" s="262"/>
      <c r="F38" s="262"/>
      <c r="G38" s="263"/>
      <c r="H38" s="262"/>
      <c r="I38" s="264">
        <v>3500</v>
      </c>
    </row>
    <row r="39" spans="1:9" ht="15.75">
      <c r="A39" s="262" t="s">
        <v>191</v>
      </c>
      <c r="B39" s="262"/>
      <c r="C39" s="262"/>
      <c r="D39" s="262"/>
      <c r="E39" s="262"/>
      <c r="F39" s="262"/>
      <c r="G39" s="263"/>
      <c r="H39" s="262"/>
      <c r="I39" s="264">
        <v>2500</v>
      </c>
    </row>
    <row r="40" spans="1:9" ht="15.75">
      <c r="A40" s="262" t="s">
        <v>192</v>
      </c>
      <c r="B40" s="262"/>
      <c r="C40" s="262"/>
      <c r="D40" s="262"/>
      <c r="E40" s="262"/>
      <c r="F40" s="262"/>
      <c r="G40" s="263"/>
      <c r="H40" s="262"/>
      <c r="I40" s="264">
        <v>2500</v>
      </c>
    </row>
    <row r="41" spans="1:9" ht="15.75">
      <c r="A41" s="262" t="s">
        <v>193</v>
      </c>
      <c r="B41" s="262"/>
      <c r="C41" s="262"/>
      <c r="D41" s="262"/>
      <c r="E41" s="262"/>
      <c r="F41" s="262"/>
      <c r="G41" s="263"/>
      <c r="H41" s="262"/>
      <c r="I41" s="264">
        <v>2500</v>
      </c>
    </row>
    <row r="42" spans="1:9" ht="15.75">
      <c r="A42" s="262" t="s">
        <v>194</v>
      </c>
      <c r="B42" s="262"/>
      <c r="C42" s="262"/>
      <c r="D42" s="262"/>
      <c r="E42" s="262"/>
      <c r="F42" s="262"/>
      <c r="G42" s="263"/>
      <c r="H42" s="262"/>
      <c r="I42" s="264">
        <v>2500</v>
      </c>
    </row>
    <row r="43" spans="1:9" ht="15.75">
      <c r="A43" s="262" t="s">
        <v>195</v>
      </c>
      <c r="B43" s="262"/>
      <c r="C43" s="262"/>
      <c r="D43" s="262"/>
      <c r="E43" s="262"/>
      <c r="F43" s="262"/>
      <c r="G43" s="263"/>
      <c r="H43" s="262"/>
      <c r="I43" s="264">
        <v>2500</v>
      </c>
    </row>
    <row r="44" spans="1:9" ht="15.75">
      <c r="A44" s="262" t="s">
        <v>196</v>
      </c>
      <c r="B44" s="262"/>
      <c r="C44" s="262"/>
      <c r="D44" s="262"/>
      <c r="E44" s="262"/>
      <c r="F44" s="262"/>
      <c r="G44" s="263"/>
      <c r="H44" s="262"/>
      <c r="I44" s="264">
        <v>3500</v>
      </c>
    </row>
    <row r="50" spans="1:13" ht="12.75">
      <c r="A50" s="22" t="s">
        <v>198</v>
      </c>
      <c r="G50" s="205"/>
      <c r="H50" s="216"/>
      <c r="I50" s="216"/>
      <c r="J50" s="216"/>
      <c r="K50" s="216"/>
      <c r="L50" s="216"/>
      <c r="M50" s="216"/>
    </row>
    <row r="51" spans="1:13" ht="12.75">
      <c r="A51" s="22"/>
      <c r="G51" s="205"/>
      <c r="H51" s="216"/>
      <c r="I51" s="216"/>
      <c r="J51" s="216"/>
      <c r="K51" s="216"/>
      <c r="L51" s="216"/>
      <c r="M51" s="216"/>
    </row>
    <row r="52" spans="1:13" ht="12.75">
      <c r="A52" s="294" t="s">
        <v>2</v>
      </c>
      <c r="B52" s="252"/>
      <c r="C52" s="252"/>
      <c r="D52" s="252"/>
      <c r="E52" s="252"/>
      <c r="F52" s="252"/>
      <c r="G52" s="250"/>
      <c r="H52" s="252"/>
      <c r="I52" s="293" t="s">
        <v>184</v>
      </c>
      <c r="J52" s="293"/>
      <c r="K52" s="293"/>
      <c r="L52" s="293"/>
      <c r="M52" s="293"/>
    </row>
    <row r="53" spans="1:13" ht="12.75">
      <c r="A53" s="295"/>
      <c r="B53" s="252"/>
      <c r="C53" s="252"/>
      <c r="D53" s="252"/>
      <c r="E53" s="252"/>
      <c r="F53" s="252"/>
      <c r="G53" s="250"/>
      <c r="H53" s="252"/>
      <c r="I53" s="186">
        <v>2011</v>
      </c>
      <c r="J53" s="186">
        <v>2012</v>
      </c>
      <c r="K53" s="186">
        <v>2013</v>
      </c>
      <c r="L53" s="186">
        <v>2014</v>
      </c>
      <c r="M53" s="186">
        <v>2015</v>
      </c>
    </row>
    <row r="54" spans="1:13" ht="12.75">
      <c r="A54" s="251" t="s">
        <v>182</v>
      </c>
      <c r="B54" s="251"/>
      <c r="C54" s="251"/>
      <c r="D54" s="251"/>
      <c r="E54" s="251"/>
      <c r="F54" s="251"/>
      <c r="G54" s="253"/>
      <c r="H54" s="251"/>
      <c r="I54" s="254">
        <f>+I13</f>
        <v>607570</v>
      </c>
      <c r="J54" s="254">
        <f>+J13</f>
        <v>339710</v>
      </c>
      <c r="K54" s="254">
        <f>+K13</f>
        <v>0</v>
      </c>
      <c r="L54" s="254">
        <f>+L13</f>
        <v>0</v>
      </c>
      <c r="M54" s="254">
        <f>+M13</f>
        <v>0</v>
      </c>
    </row>
    <row r="55" spans="1:13" ht="12.75">
      <c r="A55" s="255"/>
      <c r="B55" s="255"/>
      <c r="C55" s="255"/>
      <c r="D55" s="255"/>
      <c r="E55" s="255"/>
      <c r="F55" s="255"/>
      <c r="G55" s="256"/>
      <c r="H55" s="255"/>
      <c r="I55" s="255"/>
      <c r="J55" s="255"/>
      <c r="K55" s="255"/>
      <c r="L55" s="255"/>
      <c r="M55" s="255"/>
    </row>
    <row r="56" spans="1:13" ht="12.75">
      <c r="A56" s="251" t="s">
        <v>183</v>
      </c>
      <c r="B56" s="251"/>
      <c r="C56" s="251"/>
      <c r="D56" s="251"/>
      <c r="E56" s="251"/>
      <c r="F56" s="251"/>
      <c r="G56" s="253"/>
      <c r="H56" s="251"/>
      <c r="I56" s="254">
        <f>+N15</f>
        <v>4012184</v>
      </c>
      <c r="J56" s="254">
        <f>+O15</f>
        <v>332625</v>
      </c>
      <c r="K56" s="251"/>
      <c r="L56" s="251"/>
      <c r="M56" s="251"/>
    </row>
    <row r="57" spans="1:13" ht="12.75">
      <c r="A57" s="255"/>
      <c r="B57" s="255"/>
      <c r="C57" s="255"/>
      <c r="D57" s="255"/>
      <c r="E57" s="255"/>
      <c r="F57" s="255"/>
      <c r="G57" s="256"/>
      <c r="H57" s="255"/>
      <c r="I57" s="255"/>
      <c r="J57" s="255"/>
      <c r="K57" s="255"/>
      <c r="L57" s="255"/>
      <c r="M57" s="255"/>
    </row>
    <row r="58" spans="1:13" ht="12.75">
      <c r="A58" s="250" t="s">
        <v>199</v>
      </c>
      <c r="B58" s="250"/>
      <c r="C58" s="250"/>
      <c r="D58" s="250"/>
      <c r="E58" s="250"/>
      <c r="F58" s="250"/>
      <c r="G58" s="250"/>
      <c r="H58" s="250"/>
      <c r="I58" s="257">
        <f>+I54+I56</f>
        <v>4619754</v>
      </c>
      <c r="J58" s="257">
        <f>+J54+J56</f>
        <v>672335</v>
      </c>
      <c r="K58" s="257">
        <f>+K54+K56</f>
        <v>0</v>
      </c>
      <c r="L58" s="257">
        <f>+L54+L56</f>
        <v>0</v>
      </c>
      <c r="M58" s="257">
        <f>+M54+M56</f>
        <v>0</v>
      </c>
    </row>
  </sheetData>
  <mergeCells count="16">
    <mergeCell ref="N6:R7"/>
    <mergeCell ref="S6:S7"/>
    <mergeCell ref="C7:D7"/>
    <mergeCell ref="A11:F11"/>
    <mergeCell ref="G6:G7"/>
    <mergeCell ref="H6:H7"/>
    <mergeCell ref="I6:M7"/>
    <mergeCell ref="A6:A7"/>
    <mergeCell ref="B6:B7"/>
    <mergeCell ref="A2:M2"/>
    <mergeCell ref="C6:D6"/>
    <mergeCell ref="E6:F7"/>
    <mergeCell ref="I52:M52"/>
    <mergeCell ref="A52:A53"/>
    <mergeCell ref="A13:F13"/>
    <mergeCell ref="A15:F15"/>
  </mergeCells>
  <printOptions/>
  <pageMargins left="0.27" right="0.24" top="1" bottom="1" header="0.5" footer="0.5"/>
  <pageSetup horizontalDpi="600" verticalDpi="600" orientation="portrait" paperSize="9" scale="95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StanisK</dc:creator>
  <cp:keywords/>
  <dc:description/>
  <cp:lastModifiedBy>MariaT</cp:lastModifiedBy>
  <cp:lastPrinted>2011-02-28T11:57:51Z</cp:lastPrinted>
  <dcterms:created xsi:type="dcterms:W3CDTF">2010-03-23T09:23:41Z</dcterms:created>
  <dcterms:modified xsi:type="dcterms:W3CDTF">2011-02-28T12:01:11Z</dcterms:modified>
  <cp:category/>
  <cp:version/>
  <cp:contentType/>
  <cp:contentStatus/>
</cp:coreProperties>
</file>