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activeTab="0"/>
  </bookViews>
  <sheets>
    <sheet name="tabl1" sheetId="1" r:id="rId1"/>
    <sheet name="tabl2" sheetId="2" r:id="rId2"/>
    <sheet name="zał1" sheetId="3" r:id="rId3"/>
    <sheet name="zał2" sheetId="4" r:id="rId4"/>
    <sheet name="zał3" sheetId="5" r:id="rId5"/>
    <sheet name="zał4" sheetId="6" r:id="rId6"/>
    <sheet name="zał5" sheetId="7" r:id="rId7"/>
    <sheet name="zał6" sheetId="8" r:id="rId8"/>
    <sheet name="zał7" sheetId="9" r:id="rId9"/>
    <sheet name="zał8" sheetId="10" r:id="rId10"/>
    <sheet name="zał9" sheetId="11" r:id="rId11"/>
  </sheets>
  <definedNames>
    <definedName name="_xlnm._FilterDatabase" localSheetId="1" hidden="1">'tabl2'!$A$11:$L$269</definedName>
    <definedName name="_xlnm.Print_Area" localSheetId="0">'tabl1'!$A$1:$F$77</definedName>
    <definedName name="_xlnm.Print_Area" localSheetId="1">'tabl2'!$A$1:$N$269</definedName>
    <definedName name="_xlnm.Print_Area" localSheetId="2">'zał1'!$A$1:$N$46</definedName>
    <definedName name="_xlnm.Print_Area" localSheetId="3">'zał2'!$A$1:$Q$96</definedName>
    <definedName name="_xlnm.Print_Area" localSheetId="5">'zał4'!$A$1:$K$26</definedName>
    <definedName name="_xlnm.Print_Area" localSheetId="6">'zał5'!$A$1:$H$20</definedName>
    <definedName name="_xlnm.Print_Area" localSheetId="7">'zał6'!$A$1:$F$36</definedName>
    <definedName name="_xlnm.Print_Area" localSheetId="8">'zał7'!$A$1:$F$36</definedName>
    <definedName name="_xlnm.Print_Area" localSheetId="9">'zał8'!$K$1:$P$40</definedName>
    <definedName name="_xlnm.Print_Area" localSheetId="10">'zał9'!$A$1:$N$52</definedName>
    <definedName name="_xlnm.Print_Titles" localSheetId="0">'tabl1'!$10:$11</definedName>
    <definedName name="_xlnm.Print_Titles" localSheetId="1">'tabl2'!$7:$11</definedName>
    <definedName name="_xlnm.Print_Titles" localSheetId="2">'zał1'!$8:$13</definedName>
    <definedName name="_xlnm.Print_Titles" localSheetId="3">'zał2'!$7:$13</definedName>
  </definedNames>
  <calcPr fullCalcOnLoad="1"/>
</workbook>
</file>

<file path=xl/sharedStrings.xml><?xml version="1.0" encoding="utf-8"?>
<sst xmlns="http://schemas.openxmlformats.org/spreadsheetml/2006/main" count="1029" uniqueCount="659">
  <si>
    <t xml:space="preserve">Tabela nr 1 </t>
  </si>
  <si>
    <t xml:space="preserve">dochody z najmu i dzierżawy składników majątkowych jednostek samorządu terytorialnego, w tym : 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</si>
  <si>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</si>
  <si>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</si>
  <si>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</si>
  <si>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</si>
  <si>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</si>
  <si>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</si>
  <si>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</si>
  <si>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</si>
  <si>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</si>
  <si>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</si>
  <si>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</si>
  <si>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</si>
  <si>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</si>
  <si>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</si>
  <si>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</si>
  <si>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</si>
  <si>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</si>
  <si>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</si>
  <si>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</si>
  <si>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</si>
  <si>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</si>
  <si>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 xml:space="preserve"> 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</si>
  <si>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</si>
  <si>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</si>
  <si>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</si>
  <si>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</si>
  <si>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</si>
  <si>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</si>
  <si>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</si>
  <si>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x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</si>
  <si>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</si>
  <si>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</si>
  <si>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</si>
  <si>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</si>
  <si>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</si>
  <si>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</si>
  <si>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</si>
  <si>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</si>
  <si>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</si>
  <si>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</si>
  <si>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</si>
  <si>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</si>
  <si>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</si>
  <si>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</si>
  <si>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</si>
  <si>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</si>
  <si>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</si>
  <si>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</si>
  <si>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</si>
  <si>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</si>
  <si>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</si>
  <si>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</si>
  <si>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</si>
  <si>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</si>
  <si>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</si>
  <si>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</si>
  <si>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</si>
  <si>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</si>
  <si>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</si>
  <si>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</si>
  <si>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</si>
  <si>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</si>
  <si>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</si>
  <si>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</si>
  <si>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</si>
  <si>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</si>
  <si>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</si>
  <si>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</si>
  <si>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</si>
  <si>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</si>
  <si>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</si>
  <si>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</si>
  <si>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</si>
  <si>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</si>
  <si>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</si>
  <si>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</si>
  <si>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</si>
  <si>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</si>
  <si>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</si>
  <si>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</si>
  <si>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</si>
  <si>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</si>
  <si>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Prognozowany wynik finansowy</t>
  </si>
  <si>
    <t>Łączne koszty finansowe</t>
  </si>
  <si>
    <t>Źródło dochodów</t>
  </si>
  <si>
    <t>§**</t>
  </si>
  <si>
    <t>Jednostka organizacyjna realizująca program lub koordynująca wykonanie programu</t>
  </si>
  <si>
    <t>dochody własne jst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</si>
  <si>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</si>
  <si>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</si>
  <si>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</si>
  <si>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</si>
  <si>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</si>
  <si>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</si>
  <si>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</si>
  <si>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</si>
  <si>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</si>
  <si>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</si>
  <si>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</si>
  <si>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</si>
  <si>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</si>
  <si>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</si>
  <si>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</si>
  <si>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</si>
  <si>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</si>
  <si>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</si>
  <si>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</si>
  <si>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</si>
  <si>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</si>
  <si>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</si>
  <si>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</si>
  <si>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</si>
  <si>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</si>
  <si>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</si>
  <si>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</si>
  <si>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</si>
  <si>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</si>
  <si>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</si>
  <si>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</si>
  <si>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</si>
  <si>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</si>
  <si>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</si>
  <si>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</si>
  <si>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>najem lokali mieszkalnych</t>
  </si>
  <si>
    <t xml:space="preserve">najem lokali użytkowych </t>
  </si>
  <si>
    <t xml:space="preserve">dzierżawa gruntów </t>
  </si>
  <si>
    <t>O760</t>
  </si>
  <si>
    <t xml:space="preserve">sprzedaż mieszkań </t>
  </si>
  <si>
    <t>Rady Miejskiej w Jelczu-Laskowicach</t>
  </si>
  <si>
    <t>pozostałe odsetki</t>
  </si>
  <si>
    <t>wpływy z różnych opłat ( koszty upomnień i inne )</t>
  </si>
  <si>
    <t>O970</t>
  </si>
  <si>
    <t xml:space="preserve">wpływy z różnych dochodów 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</si>
  <si>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</si>
  <si>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</si>
  <si>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</si>
  <si>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</si>
  <si>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</si>
  <si>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</si>
  <si>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</si>
  <si>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</si>
  <si>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</si>
  <si>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</si>
  <si>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</si>
  <si>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</si>
  <si>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</si>
  <si>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</si>
  <si>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</si>
  <si>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</si>
  <si>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</si>
  <si>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</si>
  <si>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</si>
  <si>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</si>
  <si>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</si>
  <si>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</si>
  <si>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</si>
  <si>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</si>
  <si>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</si>
  <si>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</si>
  <si>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</si>
  <si>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</si>
  <si>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</si>
  <si>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</si>
  <si>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</si>
  <si>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</si>
  <si>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</si>
  <si>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</si>
  <si>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</si>
  <si>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</si>
  <si>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</si>
  <si>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wpływy z opłat za zezwolenia na sprzedaż alkoholu</t>
  </si>
  <si>
    <t>dotacje celowe otrzymane z budżetu państwa na realizację zadań bieżących z zakresu administracji rządowej - dofin. do kosztów wynagrodzenia</t>
  </si>
  <si>
    <t xml:space="preserve">dotacje celowe otrzymane z budżetu państwa na realizację zadań bieżących z zakresu administracji rządowej -  składki na ubezpieczenia zdrowotne 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</si>
  <si>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</si>
  <si>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</si>
  <si>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</si>
  <si>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</si>
  <si>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</si>
  <si>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</si>
  <si>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</si>
  <si>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</si>
  <si>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</si>
  <si>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</si>
  <si>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</si>
  <si>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</si>
  <si>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</si>
  <si>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</si>
  <si>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</si>
  <si>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</si>
  <si>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</si>
  <si>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</si>
  <si>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</si>
  <si>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</si>
  <si>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</si>
  <si>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</si>
  <si>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</si>
  <si>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</si>
  <si>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</si>
  <si>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użytkowanie wieczyste</t>
  </si>
  <si>
    <t>Pozostała działalność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</si>
  <si>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</si>
  <si>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</si>
  <si>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</si>
  <si>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</si>
  <si>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</si>
  <si>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</si>
  <si>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</si>
  <si>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</si>
  <si>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</si>
  <si>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</si>
  <si>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</si>
  <si>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</si>
  <si>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</si>
  <si>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</si>
  <si>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 xml:space="preserve">koszty poboru podatków </t>
  </si>
  <si>
    <t>Obsługa długu publicznego</t>
  </si>
  <si>
    <t xml:space="preserve">Obsługa papierów wartościowych, kredytów i pożyczek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</si>
  <si>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</si>
  <si>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</si>
  <si>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</si>
  <si>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</si>
  <si>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</si>
  <si>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</si>
  <si>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</si>
  <si>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</si>
  <si>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</si>
  <si>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</si>
  <si>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</si>
  <si>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</si>
  <si>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</si>
  <si>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</si>
  <si>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</si>
  <si>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</si>
  <si>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</si>
  <si>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</si>
  <si>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</si>
  <si>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</si>
  <si>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</si>
  <si>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</si>
  <si>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 xml:space="preserve">  </t>
  </si>
  <si>
    <t>(koszty  utrzymania ZEA)</t>
  </si>
  <si>
    <t xml:space="preserve">Przedszkola </t>
  </si>
  <si>
    <t>dotacja do kosztów utrzymania niepublicznych przedszkoli</t>
  </si>
  <si>
    <t>dotacja dla ZUST przy ZEA</t>
  </si>
  <si>
    <t xml:space="preserve">Ochrona zdrowia </t>
  </si>
  <si>
    <t xml:space="preserve">Lecznictwo ambulatoryjne 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</si>
  <si>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</si>
  <si>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</si>
  <si>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</si>
  <si>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</si>
  <si>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</si>
  <si>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</si>
  <si>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</si>
  <si>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</si>
  <si>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</si>
  <si>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</si>
  <si>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</si>
  <si>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</si>
  <si>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</si>
  <si>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</si>
  <si>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</si>
  <si>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</si>
  <si>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</si>
  <si>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</si>
  <si>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</si>
  <si>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</si>
  <si>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</si>
  <si>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</si>
  <si>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</si>
  <si>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</si>
  <si>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</si>
  <si>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</si>
  <si>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</si>
  <si>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</si>
  <si>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</si>
  <si>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</si>
  <si>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</si>
  <si>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</si>
  <si>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</si>
  <si>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</si>
  <si>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</si>
  <si>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</si>
  <si>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</si>
  <si>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</si>
  <si>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</si>
  <si>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</si>
  <si>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</si>
  <si>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</si>
  <si>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</si>
  <si>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</si>
  <si>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 xml:space="preserve">Biblioteki </t>
  </si>
  <si>
    <t>dotacja dla instytucji kultury - Biblioteki</t>
  </si>
  <si>
    <t xml:space="preserve">Ochrona zabytków i opieka nad zabytkami 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</si>
  <si>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</si>
  <si>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</si>
  <si>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</si>
  <si>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</si>
  <si>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</si>
  <si>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</si>
  <si>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</si>
  <si>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</si>
  <si>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</si>
  <si>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</si>
  <si>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</si>
  <si>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</si>
  <si>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</si>
  <si>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</si>
  <si>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 xml:space="preserve">Urzędy nacz.organów władzy państwowej ,kontroli i ochrony prawa  </t>
  </si>
  <si>
    <t>( materiały i szkolenia)</t>
  </si>
  <si>
    <t xml:space="preserve">Obrona cywilna </t>
  </si>
  <si>
    <t xml:space="preserve">Działalność usługowa </t>
  </si>
  <si>
    <t>Cmentarze - utrzymanie mogiły wojennej</t>
  </si>
  <si>
    <t>koszty realizacji zadań w zakresie zwalczania narkomanii</t>
  </si>
  <si>
    <t>koszty realizacji Gminnego Programu Rozwiązywania problemów alkoholowych</t>
  </si>
  <si>
    <t>koszty remontów i utrzymania  obiektów kultury</t>
  </si>
  <si>
    <t>wydatki inwestycyjne</t>
  </si>
  <si>
    <t xml:space="preserve">wydatki inwestycyjne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</si>
  <si>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</si>
  <si>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</si>
  <si>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</si>
  <si>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</si>
  <si>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</si>
  <si>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</si>
  <si>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</si>
  <si>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</si>
  <si>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</si>
  <si>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</si>
  <si>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 xml:space="preserve">gospodarka odpadami i ochrona powierzchni ziemi 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</si>
  <si>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</si>
  <si>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</si>
  <si>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</si>
  <si>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</si>
  <si>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</si>
  <si>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</si>
  <si>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</si>
  <si>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</si>
  <si>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</si>
  <si>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</si>
  <si>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</si>
  <si>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</si>
  <si>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</si>
  <si>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</si>
  <si>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</si>
  <si>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</si>
  <si>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</si>
  <si>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 xml:space="preserve">koszty  utrzymania OSP 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</si>
  <si>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</si>
  <si>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</si>
  <si>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</si>
  <si>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</si>
  <si>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</si>
  <si>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budynku socjalnego</t>
  </si>
  <si>
    <t xml:space="preserve"> Razem wydatki :</t>
  </si>
  <si>
    <t>010</t>
  </si>
  <si>
    <t>przebudowa Al. Wolności</t>
  </si>
  <si>
    <t>remont Pałacu</t>
  </si>
  <si>
    <t>Centra kultury i sztuki</t>
  </si>
  <si>
    <t>stypendia dla uczniów</t>
  </si>
  <si>
    <t>inwestycje</t>
  </si>
  <si>
    <t>utwardzenie nawierzchni targowiska - projekt</t>
  </si>
  <si>
    <t>odsetki od kredytu BGK</t>
  </si>
  <si>
    <t>prewencja chorób cywilizacyjnych</t>
  </si>
  <si>
    <t>odsetki od kredytu krótkoterminowego</t>
  </si>
  <si>
    <t>odsetki od spłaty zobowiązań wobec WSSE</t>
  </si>
  <si>
    <t xml:space="preserve">odsetki od emisji oblig. komunalnych </t>
  </si>
  <si>
    <t xml:space="preserve">Jednostki specjal. poradnictwa, mieszkania chronione </t>
  </si>
  <si>
    <t>koszty opłat za mieszkania chronione</t>
  </si>
  <si>
    <t xml:space="preserve">remonty gminnych obiektów </t>
  </si>
  <si>
    <t>remonty: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</si>
  <si>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</si>
  <si>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</si>
  <si>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</si>
  <si>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</si>
  <si>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</si>
  <si>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 xml:space="preserve">do uchwały nr  </t>
  </si>
  <si>
    <t xml:space="preserve">z dnia : </t>
  </si>
  <si>
    <t>DOCHODY  BIEŻĄCE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</si>
  <si>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</si>
  <si>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</si>
  <si>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</si>
  <si>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</si>
  <si>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</si>
  <si>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</si>
  <si>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</si>
  <si>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</si>
  <si>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>rezerwa na zarządzanie kryzysowe</t>
  </si>
  <si>
    <t xml:space="preserve">   zagraniczne</t>
  </si>
  <si>
    <t xml:space="preserve">dotacje z budżetu państwa na realizację własnych zadań </t>
  </si>
  <si>
    <t>Kwota długu na dzień 31.12.2007</t>
  </si>
  <si>
    <t>Kwota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</si>
  <si>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</si>
  <si>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</si>
  <si>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</si>
  <si>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O770</t>
  </si>
  <si>
    <t xml:space="preserve">Wpłaty z tytułu odpłatnego nabycia prawa własności oraz prawa użytkowania wieczystego nieruchomości, w tym : </t>
  </si>
  <si>
    <t>wydatki bieżące</t>
  </si>
  <si>
    <t>RAZEM WYDATKI Z ZAKRESU ADMINISTRACJI RZĄDOWEJ I INNE ZLECONE USTAWAMI</t>
  </si>
  <si>
    <t>RAZEM WYDATKI NA ZADANIA WŁASNE</t>
  </si>
  <si>
    <t>Wynagrodzenia
i pochodne od 
wynagrodzeń</t>
  </si>
  <si>
    <t>wykupy nieruchomości</t>
  </si>
  <si>
    <t>remont ul. Bożka</t>
  </si>
  <si>
    <t>budowa ul. Kościelnej w Miłoszycach</t>
  </si>
  <si>
    <t>rozbudowa remizy w Wójcicach</t>
  </si>
  <si>
    <t>dofinansowanie remontu wiaduktu J-L</t>
  </si>
  <si>
    <t>(zadania w zakresie aktualizacji spisów wyborców)</t>
  </si>
  <si>
    <t>Rady gmin (miast i miast na prawach powiatu)</t>
  </si>
  <si>
    <t xml:space="preserve">Urzędy nacz.organów władzy państwowej, kontroli i ochrony prawa oraz sądownictwa </t>
  </si>
  <si>
    <t>Oddziały przedszkolne w szkołach podstawowych</t>
  </si>
  <si>
    <t>prowadzenie masowych zajęć sportowych z młodzieżą</t>
  </si>
  <si>
    <t>Wydatki 
na obsługę długu</t>
  </si>
  <si>
    <t>koszty realizacji zadań Gminnego Zespołu Reagowania</t>
  </si>
  <si>
    <t>Dochody od osób prawnych, od osób fizycznych i od innych jednostek organizacyjnych</t>
  </si>
  <si>
    <t>(remonty)</t>
  </si>
  <si>
    <t xml:space="preserve">F. Ś. Socjalnych nauczycieli - emerytów i rencistów </t>
  </si>
  <si>
    <t>wynagr. bezosobowe czł. Kom. Urbanistyczno-Architek.</t>
  </si>
  <si>
    <t xml:space="preserve">komisja kwalifik. awansu zawodowego nauczycieli </t>
  </si>
  <si>
    <t>SALDO (dochody - wydatki + kredyt)</t>
  </si>
  <si>
    <t>dotacje celowe otrzymane z budżetu państwa na realizację zadań bieżących z zakresu administracji rządowej-dofin. kosztów GZRK</t>
  </si>
  <si>
    <t>Kwota długu na dzień 31.12.2008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</si>
  <si>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</si>
  <si>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>2010 r.</t>
  </si>
  <si>
    <t>2011 r.</t>
  </si>
  <si>
    <t>remonty obiektów + zajęcia rewalidacyjne</t>
  </si>
  <si>
    <t>Budowa ul. Kościelnej w Miłoszycach</t>
  </si>
  <si>
    <t>Budowa oświetlenia - Chwałowice</t>
  </si>
  <si>
    <t xml:space="preserve">Rozdział </t>
  </si>
  <si>
    <t>Paragraf</t>
  </si>
  <si>
    <t>Wpływy z różnych opłat w tym: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</si>
  <si>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</si>
  <si>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</si>
  <si>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</si>
  <si>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unieszkodliwianie odpadów zawierającej azbest</t>
  </si>
  <si>
    <t>Plan na 2009 r.</t>
  </si>
  <si>
    <t>wspieranie budowy oczyszczalni przydomowych i przyłączy do kanalizacji sanitarnej</t>
  </si>
  <si>
    <t>załącznik nr 5</t>
  </si>
  <si>
    <t>załącznik nr 6</t>
  </si>
  <si>
    <t>załącznik nr 8</t>
  </si>
  <si>
    <t>z tego: 2009 r.</t>
  </si>
  <si>
    <t>2012 r.***</t>
  </si>
  <si>
    <t>Program: RPO 2007-2013</t>
  </si>
  <si>
    <t>Priorytet: Odnowa zdegradowanych obszarów miejskich na terenie Dolnego Śląska</t>
  </si>
  <si>
    <t>Działanie: Odnowa zdegradowanych obszarów miejskich w miastach powyżej 10 tysięcy mieszkańców</t>
  </si>
  <si>
    <t>1.4</t>
  </si>
  <si>
    <t>1.5</t>
  </si>
  <si>
    <t>1.6</t>
  </si>
  <si>
    <t>1.7</t>
  </si>
  <si>
    <t>1.8</t>
  </si>
  <si>
    <t>1.9</t>
  </si>
  <si>
    <t>Planowane w roku budżetowym 
(bez prefinansowania):</t>
  </si>
  <si>
    <t>odsetki od kredytu z BOŚ - I</t>
  </si>
  <si>
    <t>odsetki od kredytu z BOŚ - II</t>
  </si>
  <si>
    <t>odsetki od planowanej pożyczki WFOŚ</t>
  </si>
  <si>
    <t>dotacja dla instytucji kultury - MGCK</t>
  </si>
  <si>
    <t>Przebudowa Al. Wolności</t>
  </si>
  <si>
    <t>Rozbudowa remizy w Wójcicach</t>
  </si>
  <si>
    <t>Budowa boiska przy ul. Hirszfelda - projekt</t>
  </si>
  <si>
    <t>Przebudowa ul. Techników I etap</t>
  </si>
  <si>
    <t>boś</t>
  </si>
  <si>
    <t>bgk</t>
  </si>
  <si>
    <t>wfos</t>
  </si>
  <si>
    <t>boś -5mln</t>
  </si>
  <si>
    <t>*** rok 2012 do wykorzystania fakultatywnego</t>
  </si>
  <si>
    <t>Dochody budżetu gminy na 2010 r.</t>
  </si>
  <si>
    <t>Plan 2010 r.</t>
  </si>
  <si>
    <t>Wydatki budżetu gminy na  2010 r.</t>
  </si>
  <si>
    <t>Plan
na 2010 r.
(7+11)</t>
  </si>
  <si>
    <t>dotacje otrzymane z funduszy celowych na finansowanie lub dofinansowanie kosztów realizacji inwestycji i zakupów inwestycyjnych jednostek sektora finansów publicznych</t>
  </si>
  <si>
    <t>900 Gospodarka komunalna i ochrona środowiska</t>
  </si>
  <si>
    <t>przebudowa ul. Oławskiej</t>
  </si>
  <si>
    <t>budowa drogi dojazdowej do gruntów rolnych</t>
  </si>
  <si>
    <t>adaptacja pomieszczeń Przychodni na świetlicę socjoterapeutyczną</t>
  </si>
  <si>
    <t xml:space="preserve">dofinansowanie zakupu wyposażenia dla OSP </t>
  </si>
  <si>
    <t>budowa Centrum Sportu i Rekreacji</t>
  </si>
  <si>
    <t xml:space="preserve">Prognoza kwoty długu i spłat na rok 2010 i lata następne </t>
  </si>
  <si>
    <t>Kwota długu na dzień 31.12.2009</t>
  </si>
  <si>
    <t>wfos etap 4-5</t>
  </si>
  <si>
    <t>Kredyt planowany 2010</t>
  </si>
  <si>
    <t>kredyt krótkoterminowy</t>
  </si>
  <si>
    <t>odsetki strefa</t>
  </si>
  <si>
    <t>Ochrony Środowiska i Gospodarki Wodnej na 2010 rok</t>
  </si>
  <si>
    <t>KREDYTY I POŻYCZKI</t>
  </si>
  <si>
    <t>Składki zdrowotne</t>
  </si>
  <si>
    <t>wyburzenie budynków przy Alei Wolności</t>
  </si>
  <si>
    <t>remonty gminnych zasobów mieszkaniowych -ZGM-TBS</t>
  </si>
  <si>
    <t>modernizacja budynku przy ul. Techników 12 oraz zakup wyposażenia do świetlicy "Opty"</t>
  </si>
  <si>
    <t>Termomodernizacja ścian zewnętrznych oraz dachów czterech budynków mieszkalnych przy ulicy Techników nr 19-21,22-24,23-27 i 29-29A</t>
  </si>
  <si>
    <t>Modernizacja pokryć dachowych budynków mieszkalnych przy ul.Działkowej nr 1-9 i ul.Techników nr 3,5,16,18,20 oraz termomodernizacja ścian zewnętrznych i części wspólnych</t>
  </si>
  <si>
    <t xml:space="preserve">Modernizacja drobnej infrastruktury przestrzeni publicznej  w zakresie  chodników,parkingów i zieleni miejskiej na obszarze wsparcia </t>
  </si>
  <si>
    <t>Biskupice</t>
  </si>
  <si>
    <t>Brzezinki</t>
  </si>
  <si>
    <t>Chwałowice</t>
  </si>
  <si>
    <t>Dębina</t>
  </si>
  <si>
    <t>Dziuplina</t>
  </si>
  <si>
    <t>Grędzina</t>
  </si>
  <si>
    <t>Kopalina</t>
  </si>
  <si>
    <t>Łęg</t>
  </si>
  <si>
    <t>Miłocice</t>
  </si>
  <si>
    <t>Miłocice Małe</t>
  </si>
  <si>
    <t>Miłoszyce</t>
  </si>
  <si>
    <t>Minkowice</t>
  </si>
  <si>
    <t>Nowy Dwór</t>
  </si>
  <si>
    <t>Piekary</t>
  </si>
  <si>
    <t>Wójcice</t>
  </si>
  <si>
    <t>Razem</t>
  </si>
  <si>
    <t>Lp</t>
  </si>
  <si>
    <t>Sołectwo</t>
  </si>
  <si>
    <t>fundusz sołecki</t>
  </si>
  <si>
    <t xml:space="preserve">(koszty opieki nad bezpańskimi zwierzętami) </t>
  </si>
  <si>
    <t>budowa kanalizacji sanitarnej w Chwałowicach i Dębinie 
etap 4-5</t>
  </si>
  <si>
    <t>budowa ul. Hirszfelda</t>
  </si>
  <si>
    <t>pozostałe opłaty i składki</t>
  </si>
  <si>
    <t>festyny</t>
  </si>
  <si>
    <t>utrzymanie</t>
  </si>
  <si>
    <t>dotacja z budżetu państwa na realizację własnych zadań - zasiłki stałe</t>
  </si>
  <si>
    <t>Zasiłki stałe</t>
  </si>
  <si>
    <t>kwota</t>
  </si>
  <si>
    <t>Przyznana</t>
  </si>
  <si>
    <t>Podział środków wg rozdziałów klasyfikacji budżetowej</t>
  </si>
  <si>
    <t>wydatki 
jednostek
budżetowych,</t>
  </si>
  <si>
    <t>z tego</t>
  </si>
  <si>
    <t>świadczenia na rzecz osób fizycznych;</t>
  </si>
  <si>
    <t>inwestycje i zakupy inwestycyjne</t>
  </si>
  <si>
    <t>zakup i objęcie akcji i udziałów oraz wniesienie wkładów do spółek prawa handlowego.</t>
  </si>
  <si>
    <t>wydatki związane z realizacją ich statutowych zadań;</t>
  </si>
  <si>
    <t>odsetki od pożyczki WFOŚ</t>
  </si>
  <si>
    <t>odsetki od planowanego kredytu</t>
  </si>
  <si>
    <t>budowa ul. Prusa</t>
  </si>
  <si>
    <t xml:space="preserve">Razem wydatki </t>
  </si>
  <si>
    <t>Dane w  złotych</t>
  </si>
  <si>
    <t>załącznik nr 2</t>
  </si>
  <si>
    <t xml:space="preserve">załącznik nr 14 </t>
  </si>
  <si>
    <t>Planowane wydatki w ramach funduszu sołeckiego na 2010 rok</t>
  </si>
  <si>
    <t xml:space="preserve">Środki funduszu </t>
  </si>
  <si>
    <t>przypadające na</t>
  </si>
  <si>
    <t>dane sołectwo</t>
  </si>
  <si>
    <t>Przedsięwzięcia</t>
  </si>
  <si>
    <t>przewidziane do</t>
  </si>
  <si>
    <t xml:space="preserve">realizacji według </t>
  </si>
  <si>
    <t xml:space="preserve">w ramach </t>
  </si>
  <si>
    <t>funduszu</t>
  </si>
  <si>
    <t>wniosku sołectwa</t>
  </si>
  <si>
    <t xml:space="preserve">Plan wydatków realizowanych w ramach funduszu sołeckiego na 2010 rok </t>
  </si>
  <si>
    <t>w układzie działów i rozdziałów klasyfikacji budżetowej</t>
  </si>
  <si>
    <t>(art. 2 ust. 1. Ustawy o funduszu sołeckim)</t>
  </si>
  <si>
    <t>utwardzenie ul. Leśnej</t>
  </si>
  <si>
    <t>utrzymanie świetlicy wiejskiej</t>
  </si>
  <si>
    <t>organizacja imprez kulturalnych</t>
  </si>
  <si>
    <t>budowa placu zabaw przy świetlicy</t>
  </si>
  <si>
    <t>budowa placu zabaw</t>
  </si>
  <si>
    <t>wykonanie ogrodzenia placu zabaw</t>
  </si>
  <si>
    <t xml:space="preserve">wykonanie zadaszenia do świetlicy - dobudowa </t>
  </si>
  <si>
    <t>zakup wyposażenia na plac zabaw</t>
  </si>
  <si>
    <t>ogrodzenie placu rekreacyjnego</t>
  </si>
  <si>
    <t>Suma wydatków</t>
  </si>
  <si>
    <t>RAZEM</t>
  </si>
  <si>
    <t>fundusz sołecki - remonty dróg</t>
  </si>
  <si>
    <t xml:space="preserve">fundusz sołecki </t>
  </si>
  <si>
    <t>pomoc finansowa dla miasta Oława</t>
  </si>
  <si>
    <t>załącznik nr 1</t>
  </si>
  <si>
    <t>Limity wydatków na wieloletnie programy inwestycyjne w latach 2010 - 2012</t>
  </si>
  <si>
    <t>rok budżetowy 2010 (8+9+10+11)</t>
  </si>
  <si>
    <t>2012 r.</t>
  </si>
  <si>
    <t>A.      
B.
C.</t>
  </si>
  <si>
    <t>Budowa dróg na os. Domków Jednorodzinnych</t>
  </si>
  <si>
    <t>Modernizacja budynku przy ul.Techników 12 oraz zakup wyposażenia do świetlicy OPTY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</si>
  <si>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</si>
  <si>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</si>
  <si>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Wdrożenie systemu monitoringu na obszarze wsparcia </t>
  </si>
  <si>
    <t>Budowa kanalizacji sanitarnej w Chwałowicach i Dębinie etap 4-5</t>
  </si>
  <si>
    <t xml:space="preserve">Modernizacja oświetlenia na obszarze wsparcia </t>
  </si>
  <si>
    <t xml:space="preserve">Budowa Centrum Sportu i Rekreacji przy ul.Oławskiej w Jelczu-Laskowicach 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</si>
  <si>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</si>
  <si>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</si>
  <si>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</si>
  <si>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</si>
  <si>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</si>
  <si>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</si>
  <si>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 xml:space="preserve">Nazwa zadania </t>
  </si>
  <si>
    <t>Przedszkola niepubliczne</t>
  </si>
  <si>
    <t>Biblioteka miejska</t>
  </si>
  <si>
    <t>Gminne Centrum Kultury</t>
  </si>
  <si>
    <t>ZUST przy ZEA - Gosp. Pomocnicze</t>
  </si>
  <si>
    <t>Pływalnia Miejska - Zakład Budżetowy</t>
  </si>
  <si>
    <t>dotacje
z budżetu</t>
  </si>
  <si>
    <t>zakres dotacji</t>
  </si>
  <si>
    <t>dotacja przedmiotowa</t>
  </si>
  <si>
    <t>dotacja celowa na inwestycje</t>
  </si>
  <si>
    <t>cel dotacji</t>
  </si>
  <si>
    <t>dotacja celowa za zadania bieżące z udziałem środków z UE</t>
  </si>
  <si>
    <t>Jednostka Organizacyjna</t>
  </si>
  <si>
    <t>Dochody</t>
  </si>
  <si>
    <t>Wydatki razem</t>
  </si>
  <si>
    <t>bieżące</t>
  </si>
  <si>
    <t>majątkowe</t>
  </si>
  <si>
    <t>Plan dochodów własnych jednostek budżetowych i wydatków nimi finansowanymi
 w 2010r</t>
  </si>
  <si>
    <t>Plan przychodów i kosztów zakładów budżetowych oraz gospodarstw pomocniczych</t>
  </si>
  <si>
    <t>na 2010 r</t>
  </si>
  <si>
    <t>Plan</t>
  </si>
  <si>
    <t>Pozostałe zadania w zakresie polityki społecznej</t>
  </si>
  <si>
    <t>z tytułu zezwoleń na sprzedaż alkoholu</t>
  </si>
  <si>
    <t>Gminny Program Przeciwdziałania Narkomanii</t>
  </si>
  <si>
    <t>UKS Dwójka-25000, SZS-25000</t>
  </si>
  <si>
    <t xml:space="preserve">Prowadzenie zajęć sportowych z młodzieżą szkolną </t>
  </si>
  <si>
    <t>Nazwa Sołectwa</t>
  </si>
  <si>
    <t>Nazwa zadania, przedsięwzięcia</t>
  </si>
  <si>
    <t>Plan wydatków na przedsięwzięcia realizowane 
w ramach Funduszu Sołeckiego w roku 2010</t>
  </si>
  <si>
    <t>Tabela nr 2</t>
  </si>
  <si>
    <t>załącznik nr 4</t>
  </si>
  <si>
    <t>Gminny Program Profilaktyki i Rozwiązywania problemów Alkoholowych</t>
  </si>
  <si>
    <t>załącznik nr 3</t>
  </si>
  <si>
    <t>Plan dochodów i wydatków na realizację Gminnego Programu Profilaktyki i Rozwiązywania Problemów Alkoholowych i Przeciwdziałania Narkomanii w 2010r</t>
  </si>
  <si>
    <t>Plan dotacji podmiotom należącym i nienależącym
do sektora finansów publicznych w 2010 r.</t>
  </si>
  <si>
    <t xml:space="preserve">załącznik nr 7                                   </t>
  </si>
  <si>
    <t>załącznik nr 9</t>
  </si>
  <si>
    <t>dopłata do ceny obiadów</t>
  </si>
  <si>
    <t>dopłata do 
1 godz. usługi</t>
  </si>
  <si>
    <t xml:space="preserve">modernizacja drobnej infrastruktury przestrzeni publicznej  w zakresie  chodników,parkingów i zieleni miejskiej na obszarze wsparcia </t>
  </si>
  <si>
    <t>Pomoc finansowa na zadanie inwestycyjne dla miasta Oława</t>
  </si>
  <si>
    <t>termomodernizacja ścian zewnętrznych oraz dachów czterech budynków mieszkalnych przy ulicy Techników nr 19-21,22-24,23-27 i 29-29A</t>
  </si>
  <si>
    <t>przebudowa i zagospodarowanie terenu ośrodka wypoczynkowego nad stawem</t>
  </si>
  <si>
    <t>Nazwa projektu: Modernizacja budynku przy ul.Techników 12 oraz zakup wyposażenia do świetlicy OPTY</t>
  </si>
  <si>
    <t>Nazwa projektu: Utworzenie miejsca rekreacyjno-wypoczynkowego dla młodzieży i starszych celem integracji lokalnej społeczności i możliwości spędzenia wolnego czasu</t>
  </si>
  <si>
    <t>Nazwa projektu: Przebudowa i modernizacja drobnej infrastruktury  przestrzeni publicznej i utworzenie bezpiecznego placu zabaw dla dzieci</t>
  </si>
  <si>
    <t>Nazwa projektu:Wdrożenie systemu monitoringu na obszarze wsparcia</t>
  </si>
  <si>
    <t>Nazwa projektu:Termomodernizacja ścian zewnętrznych oraz dachów czterech budynków mieszkalnych przy ulicy Techników nr 19-21,22-24,23-27 i 29-29A</t>
  </si>
  <si>
    <t>Nazwa projektu: Modernizacja pokryć dachowych budynków mieszkalnych przy ul.Działkowej nr 1-9 i ul.Techników nr 3,5,16,18,20 oraz termomodernizacja ścian zewnętrznych i części wspólnych</t>
  </si>
  <si>
    <t>Nazwa projektu: Modernizacja oświetlenia na obszarze wsparcia</t>
  </si>
  <si>
    <t>Nazwa projektu: Budowa Centrum Sportu i Rekreacji przy ul. Oławskiej w Jelczu-Laskowicach</t>
  </si>
  <si>
    <t>926, 92601</t>
  </si>
  <si>
    <t xml:space="preserve">Dofinansowanie zakupu wyposażenia dla OSP </t>
  </si>
  <si>
    <t>podatek leśny</t>
  </si>
  <si>
    <t>dotacje celowe otrzymane z budżetu państwa na realizację zadań bieżących z zakresu administracji rządowej na bieżącą aktualizację spisów wyborców</t>
  </si>
  <si>
    <t>756 Dochody od osób prawnych,od osób fiz. i od innych jedn.nieposiadaj. osobowości 
       prawnej oraz wydatki związane z ich poborem</t>
  </si>
  <si>
    <t>oprac. proj. o war. zabudowy inwestycji celu publicznego</t>
  </si>
  <si>
    <t>opłaty notarialne i sądowe</t>
  </si>
  <si>
    <t xml:space="preserve">utworzenie miejsca rekreacyjno-wypoczynkowego dla młodzieży i starszych  celem integracji lokalnej społeczności i możliwości spędzenia wolnego czasu </t>
  </si>
  <si>
    <t xml:space="preserve">przebudowa  i modernizacja drobnej infrastruktury przestrzeni publicznej i utworzenie bezpiecznego placu zabaw dla dzieci </t>
  </si>
  <si>
    <t>modernizacja pokryć dachowych budynków mieszkalnych przy ul. Działkowej nr 1-9 i ul. Techników nr 3,5,16,18,20 oraz termomodernizacja ścian zewnętrznych i części wspólnych</t>
  </si>
  <si>
    <t>Pobór podatków, opłat i nieopodatkowanych należności</t>
  </si>
  <si>
    <t>rezerwa na ochronę i konserwację zabytków</t>
  </si>
  <si>
    <t xml:space="preserve">świadczenia rodzinne, zaliczka alimentacyjna oraz składki na ubezpieczenia </t>
  </si>
  <si>
    <t>składki na ubezpieczenia zdrowotne opłacane za osoby pobierające świadczenia z pomocy społecznej</t>
  </si>
  <si>
    <t>Nazwa projektu: Modernizacja drobnej infrastruktury przestrzeni publicznej w zakresie chodników, parkingów i zieleni miejskiej na obszarze wsparcia</t>
  </si>
  <si>
    <t>wspomaganie systemów gromadzenia i przetwarzania danych związanych z dostępem do informacji o środowisku</t>
  </si>
  <si>
    <t>utrzymanie terenów zieleni, zadrzewień i zakrzewień oraz parków</t>
  </si>
  <si>
    <t>utrzymanie i wyposażenie świetlicy wiejskiej</t>
  </si>
  <si>
    <t>Budowa ul. Prusa</t>
  </si>
  <si>
    <t>Budowa ul. Hirszfelda</t>
  </si>
  <si>
    <t xml:space="preserve">budowa ul.Sadowej, Wąskopolnej i Polnej - projekt </t>
  </si>
  <si>
    <t xml:space="preserve">wykonanie kanalizacji deszczowej na os. Domków Jednorodzinnych </t>
  </si>
  <si>
    <t xml:space="preserve">budowa ul.Tymienieckiego - projekt </t>
  </si>
  <si>
    <t xml:space="preserve">budowa dróg na os. Domków Jednorodzinnych w Jelczu-Laskowicach </t>
  </si>
  <si>
    <t xml:space="preserve">do uchwały nr XLIV/293/2009 </t>
  </si>
  <si>
    <t xml:space="preserve">z dnia : 18 grudnia 2009 r. </t>
  </si>
  <si>
    <t>adaptacja pomieszczeń mających pełnić funkcję świetlicy na osiedlu Jelcz</t>
  </si>
  <si>
    <t xml:space="preserve">do uchwały nr XLIV/293/2009             </t>
  </si>
  <si>
    <t xml:space="preserve">z dnia : 18 grudnia 2009 r.             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</si>
</sst>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  <numFmt numFmtId="180" formatCode="_-* #,##0.0\ _z_ł_-;\-* #,##0.0\ _z_ł_-;_-* &quot;-&quot;?\ _z_ł_-;_-@_-"/>
    <numFmt numFmtId="181" formatCode="#,##0.000"/>
    <numFmt numFmtId="182" formatCode="#,##0.0000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0"/>
    </font>
    <font>
      <i/>
      <sz val="8"/>
      <name val="Arial CE"/>
      <family val="0"/>
    </font>
    <font>
      <i/>
      <sz val="11"/>
      <name val="Arial CE"/>
      <family val="0"/>
    </font>
    <font>
      <sz val="11"/>
      <name val="Times New Roman"/>
      <family val="0"/>
    </font>
    <font>
      <sz val="14"/>
      <color indexed="1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18" applyFont="1">
      <alignment/>
      <protection/>
    </xf>
    <xf numFmtId="0" fontId="10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3" xfId="18" applyFont="1" applyBorder="1">
      <alignment/>
      <protection/>
    </xf>
    <xf numFmtId="0" fontId="9" fillId="0" borderId="4" xfId="18" applyFont="1" applyBorder="1">
      <alignment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18" applyFont="1">
      <alignment/>
      <protection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7" fillId="0" borderId="0" xfId="18" applyFont="1">
      <alignment/>
      <protection/>
    </xf>
    <xf numFmtId="0" fontId="9" fillId="0" borderId="3" xfId="18" applyFont="1" applyBorder="1" applyAlignment="1">
      <alignment/>
      <protection/>
    </xf>
    <xf numFmtId="0" fontId="3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vertical="top" wrapText="1"/>
    </xf>
    <xf numFmtId="169" fontId="12" fillId="0" borderId="0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169" fontId="12" fillId="0" borderId="4" xfId="15" applyNumberFormat="1" applyFont="1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168" fontId="7" fillId="0" borderId="0" xfId="15" applyNumberFormat="1" applyFont="1" applyBorder="1" applyAlignment="1">
      <alignment horizontal="center" vertical="top" wrapText="1"/>
    </xf>
    <xf numFmtId="169" fontId="7" fillId="0" borderId="0" xfId="15" applyNumberFormat="1" applyFont="1" applyBorder="1" applyAlignment="1">
      <alignment horizontal="center" vertical="top" wrapText="1"/>
    </xf>
    <xf numFmtId="168" fontId="20" fillId="0" borderId="0" xfId="15" applyNumberFormat="1" applyFont="1" applyBorder="1" applyAlignment="1">
      <alignment wrapText="1"/>
    </xf>
    <xf numFmtId="168" fontId="7" fillId="0" borderId="0" xfId="15" applyNumberFormat="1" applyFont="1" applyBorder="1" applyAlignment="1">
      <alignment wrapText="1"/>
    </xf>
    <xf numFmtId="169" fontId="7" fillId="0" borderId="0" xfId="15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9" fontId="20" fillId="0" borderId="11" xfId="15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9" fontId="19" fillId="0" borderId="1" xfId="15" applyNumberFormat="1" applyFont="1" applyBorder="1" applyAlignment="1">
      <alignment horizontal="center" vertical="center" wrapText="1"/>
    </xf>
    <xf numFmtId="169" fontId="23" fillId="0" borderId="1" xfId="15" applyNumberFormat="1" applyFont="1" applyBorder="1" applyAlignment="1">
      <alignment horizontal="center" vertical="center" wrapText="1"/>
    </xf>
    <xf numFmtId="169" fontId="23" fillId="0" borderId="1" xfId="15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8" fillId="0" borderId="1" xfId="18" applyFont="1" applyBorder="1" applyAlignment="1">
      <alignment wrapText="1"/>
      <protection/>
    </xf>
    <xf numFmtId="3" fontId="8" fillId="0" borderId="1" xfId="18" applyNumberFormat="1" applyFont="1" applyBorder="1">
      <alignment/>
      <protection/>
    </xf>
    <xf numFmtId="0" fontId="9" fillId="0" borderId="5" xfId="18" applyFont="1" applyBorder="1">
      <alignment/>
      <protection/>
    </xf>
    <xf numFmtId="3" fontId="9" fillId="0" borderId="5" xfId="18" applyNumberFormat="1" applyFont="1" applyBorder="1">
      <alignment/>
      <protection/>
    </xf>
    <xf numFmtId="3" fontId="9" fillId="0" borderId="3" xfId="18" applyNumberFormat="1" applyFont="1" applyBorder="1">
      <alignment/>
      <protection/>
    </xf>
    <xf numFmtId="3" fontId="9" fillId="0" borderId="3" xfId="18" applyNumberFormat="1" applyFont="1" applyBorder="1" applyAlignment="1">
      <alignment/>
      <protection/>
    </xf>
    <xf numFmtId="3" fontId="9" fillId="0" borderId="3" xfId="18" applyNumberFormat="1" applyFont="1" applyBorder="1" applyAlignment="1">
      <alignment wrapText="1"/>
      <protection/>
    </xf>
    <xf numFmtId="0" fontId="9" fillId="0" borderId="4" xfId="18" applyFont="1" applyBorder="1" applyAlignment="1">
      <alignment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wrapText="1"/>
      <protection/>
    </xf>
    <xf numFmtId="0" fontId="9" fillId="0" borderId="2" xfId="18" applyFont="1" applyBorder="1" applyAlignment="1">
      <alignment/>
      <protection/>
    </xf>
    <xf numFmtId="0" fontId="9" fillId="0" borderId="2" xfId="18" applyFont="1" applyBorder="1">
      <alignment/>
      <protection/>
    </xf>
    <xf numFmtId="3" fontId="9" fillId="0" borderId="2" xfId="18" applyNumberFormat="1" applyFont="1" applyBorder="1">
      <alignment/>
      <protection/>
    </xf>
    <xf numFmtId="0" fontId="9" fillId="0" borderId="2" xfId="18" applyFont="1" applyBorder="1" applyAlignment="1">
      <alignment wrapText="1"/>
      <protection/>
    </xf>
    <xf numFmtId="0" fontId="9" fillId="0" borderId="15" xfId="18" applyFont="1" applyBorder="1">
      <alignment/>
      <protection/>
    </xf>
    <xf numFmtId="3" fontId="14" fillId="0" borderId="14" xfId="15" applyNumberFormat="1" applyFont="1" applyBorder="1" applyAlignment="1">
      <alignment vertical="center" wrapText="1"/>
    </xf>
    <xf numFmtId="3" fontId="12" fillId="0" borderId="10" xfId="15" applyNumberFormat="1" applyFont="1" applyBorder="1" applyAlignment="1">
      <alignment vertical="center" wrapText="1"/>
    </xf>
    <xf numFmtId="3" fontId="12" fillId="0" borderId="4" xfId="15" applyNumberFormat="1" applyFont="1" applyBorder="1" applyAlignment="1">
      <alignment vertical="center" wrapText="1"/>
    </xf>
    <xf numFmtId="3" fontId="21" fillId="0" borderId="10" xfId="15" applyNumberFormat="1" applyFont="1" applyBorder="1" applyAlignment="1">
      <alignment vertical="center" wrapText="1"/>
    </xf>
    <xf numFmtId="3" fontId="12" fillId="0" borderId="3" xfId="15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 vertical="center"/>
    </xf>
    <xf numFmtId="169" fontId="5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 wrapText="1"/>
    </xf>
    <xf numFmtId="3" fontId="12" fillId="0" borderId="14" xfId="15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20" fillId="0" borderId="24" xfId="15" applyNumberFormat="1" applyFont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 wrapText="1"/>
    </xf>
    <xf numFmtId="3" fontId="12" fillId="0" borderId="3" xfId="15" applyNumberFormat="1" applyFont="1" applyFill="1" applyBorder="1" applyAlignment="1">
      <alignment vertical="center" wrapText="1"/>
    </xf>
    <xf numFmtId="3" fontId="20" fillId="0" borderId="6" xfId="15" applyNumberFormat="1" applyFont="1" applyBorder="1" applyAlignment="1">
      <alignment vertical="center" wrapText="1"/>
    </xf>
    <xf numFmtId="3" fontId="14" fillId="0" borderId="3" xfId="15" applyNumberFormat="1" applyFont="1" applyBorder="1" applyAlignment="1">
      <alignment vertical="center" wrapText="1"/>
    </xf>
    <xf numFmtId="3" fontId="20" fillId="0" borderId="1" xfId="15" applyNumberFormat="1" applyFont="1" applyBorder="1" applyAlignment="1">
      <alignment vertical="center" wrapText="1"/>
    </xf>
    <xf numFmtId="176" fontId="14" fillId="0" borderId="5" xfId="0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vertical="center" wrapText="1"/>
    </xf>
    <xf numFmtId="3" fontId="14" fillId="0" borderId="5" xfId="15" applyNumberFormat="1" applyFont="1" applyBorder="1" applyAlignment="1">
      <alignment vertical="center" wrapText="1"/>
    </xf>
    <xf numFmtId="176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vertical="center" wrapText="1"/>
    </xf>
    <xf numFmtId="176" fontId="14" fillId="0" borderId="3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vertical="center" wrapText="1"/>
    </xf>
    <xf numFmtId="176" fontId="20" fillId="0" borderId="2" xfId="0" applyNumberFormat="1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vertical="center" wrapText="1"/>
    </xf>
    <xf numFmtId="3" fontId="20" fillId="0" borderId="2" xfId="15" applyNumberFormat="1" applyFont="1" applyBorder="1" applyAlignment="1">
      <alignment vertical="center" wrapText="1"/>
    </xf>
    <xf numFmtId="176" fontId="12" fillId="0" borderId="3" xfId="15" applyNumberFormat="1" applyFont="1" applyBorder="1" applyAlignment="1">
      <alignment horizontal="right" vertical="center" wrapText="1"/>
    </xf>
    <xf numFmtId="176" fontId="12" fillId="0" borderId="10" xfId="15" applyNumberFormat="1" applyFont="1" applyBorder="1" applyAlignment="1">
      <alignment horizontal="right" vertical="center" wrapText="1"/>
    </xf>
    <xf numFmtId="3" fontId="21" fillId="0" borderId="3" xfId="15" applyNumberFormat="1" applyFont="1" applyBorder="1" applyAlignment="1">
      <alignment vertical="center" wrapText="1"/>
    </xf>
    <xf numFmtId="3" fontId="14" fillId="0" borderId="25" xfId="15" applyNumberFormat="1" applyFont="1" applyBorder="1" applyAlignment="1">
      <alignment horizontal="center" vertical="center" wrapText="1"/>
    </xf>
    <xf numFmtId="176" fontId="20" fillId="0" borderId="6" xfId="15" applyNumberFormat="1" applyFont="1" applyBorder="1" applyAlignment="1">
      <alignment horizontal="right" vertical="center" wrapText="1"/>
    </xf>
    <xf numFmtId="176" fontId="14" fillId="0" borderId="3" xfId="15" applyNumberFormat="1" applyFont="1" applyBorder="1" applyAlignment="1">
      <alignment horizontal="right" vertical="center" wrapText="1"/>
    </xf>
    <xf numFmtId="3" fontId="12" fillId="0" borderId="5" xfId="15" applyNumberFormat="1" applyFont="1" applyBorder="1" applyAlignment="1">
      <alignment vertical="center" wrapText="1"/>
    </xf>
    <xf numFmtId="3" fontId="12" fillId="0" borderId="3" xfId="15" applyNumberFormat="1" applyFont="1" applyBorder="1" applyAlignment="1">
      <alignment horizontal="left" vertical="center" wrapText="1"/>
    </xf>
    <xf numFmtId="3" fontId="12" fillId="0" borderId="10" xfId="15" applyNumberFormat="1" applyFont="1" applyBorder="1" applyAlignment="1">
      <alignment horizontal="left" vertical="center" wrapText="1"/>
    </xf>
    <xf numFmtId="3" fontId="12" fillId="0" borderId="10" xfId="15" applyNumberFormat="1" applyFont="1" applyFill="1" applyBorder="1" applyAlignment="1">
      <alignment vertical="center" wrapText="1"/>
    </xf>
    <xf numFmtId="3" fontId="14" fillId="0" borderId="10" xfId="15" applyNumberFormat="1" applyFont="1" applyBorder="1" applyAlignment="1">
      <alignment horizontal="left" vertical="center" wrapText="1"/>
    </xf>
    <xf numFmtId="3" fontId="14" fillId="0" borderId="10" xfId="15" applyNumberFormat="1" applyFont="1" applyBorder="1" applyAlignment="1">
      <alignment vertical="center" wrapText="1"/>
    </xf>
    <xf numFmtId="3" fontId="21" fillId="0" borderId="10" xfId="15" applyNumberFormat="1" applyFont="1" applyBorder="1" applyAlignment="1">
      <alignment horizontal="left" vertical="center" wrapText="1"/>
    </xf>
    <xf numFmtId="176" fontId="14" fillId="0" borderId="10" xfId="15" applyNumberFormat="1" applyFont="1" applyBorder="1" applyAlignment="1">
      <alignment horizontal="right" vertical="center" wrapText="1"/>
    </xf>
    <xf numFmtId="176" fontId="20" fillId="0" borderId="2" xfId="15" applyNumberFormat="1" applyFont="1" applyBorder="1" applyAlignment="1">
      <alignment horizontal="right" vertical="center" wrapText="1"/>
    </xf>
    <xf numFmtId="3" fontId="14" fillId="0" borderId="26" xfId="15" applyNumberFormat="1" applyFont="1" applyBorder="1" applyAlignment="1">
      <alignment horizontal="center" vertical="center" wrapText="1"/>
    </xf>
    <xf numFmtId="176" fontId="14" fillId="0" borderId="14" xfId="15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176" fontId="20" fillId="0" borderId="6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vertical="center" wrapText="1"/>
    </xf>
    <xf numFmtId="3" fontId="14" fillId="0" borderId="6" xfId="15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vertical="center" wrapText="1"/>
    </xf>
    <xf numFmtId="3" fontId="14" fillId="0" borderId="3" xfId="15" applyNumberFormat="1" applyFont="1" applyFill="1" applyBorder="1" applyAlignment="1">
      <alignment vertical="center" wrapText="1"/>
    </xf>
    <xf numFmtId="3" fontId="14" fillId="0" borderId="10" xfId="15" applyNumberFormat="1" applyFont="1" applyFill="1" applyBorder="1" applyAlignment="1">
      <alignment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12" xfId="15" applyNumberFormat="1" applyFont="1" applyFill="1" applyBorder="1" applyAlignment="1">
      <alignment vertical="center" wrapText="1"/>
    </xf>
    <xf numFmtId="3" fontId="12" fillId="0" borderId="12" xfId="15" applyNumberFormat="1" applyFont="1" applyBorder="1" applyAlignment="1">
      <alignment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4" fillId="0" borderId="3" xfId="15" applyNumberFormat="1" applyFont="1" applyBorder="1" applyAlignment="1">
      <alignment vertical="center" wrapText="1"/>
    </xf>
    <xf numFmtId="3" fontId="19" fillId="0" borderId="11" xfId="15" applyNumberFormat="1" applyFont="1" applyBorder="1" applyAlignment="1">
      <alignment horizontal="center" vertical="center" wrapText="1"/>
    </xf>
    <xf numFmtId="3" fontId="19" fillId="0" borderId="0" xfId="15" applyNumberFormat="1" applyFont="1" applyBorder="1" applyAlignment="1">
      <alignment horizontal="right" vertical="center" wrapText="1"/>
    </xf>
    <xf numFmtId="3" fontId="20" fillId="0" borderId="28" xfId="0" applyNumberFormat="1" applyFont="1" applyBorder="1" applyAlignment="1">
      <alignment horizontal="right" vertical="center" wrapText="1"/>
    </xf>
    <xf numFmtId="3" fontId="20" fillId="0" borderId="28" xfId="0" applyNumberFormat="1" applyFont="1" applyBorder="1" applyAlignment="1">
      <alignment vertical="center" wrapText="1"/>
    </xf>
    <xf numFmtId="3" fontId="20" fillId="0" borderId="28" xfId="15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10" fontId="0" fillId="0" borderId="0" xfId="20" applyNumberFormat="1" applyAlignment="1">
      <alignment/>
    </xf>
    <xf numFmtId="0" fontId="23" fillId="0" borderId="1" xfId="0" applyFont="1" applyBorder="1" applyAlignment="1">
      <alignment vertical="center" wrapText="1"/>
    </xf>
    <xf numFmtId="169" fontId="19" fillId="0" borderId="1" xfId="15" applyNumberFormat="1" applyFont="1" applyBorder="1" applyAlignment="1">
      <alignment horizontal="right" vertical="center" wrapText="1"/>
    </xf>
    <xf numFmtId="169" fontId="23" fillId="0" borderId="1" xfId="15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168" fontId="23" fillId="0" borderId="1" xfId="15" applyNumberFormat="1" applyFont="1" applyBorder="1" applyAlignment="1">
      <alignment horizontal="right" vertical="center" wrapText="1"/>
    </xf>
    <xf numFmtId="169" fontId="19" fillId="0" borderId="1" xfId="15" applyNumberFormat="1" applyFont="1" applyBorder="1" applyAlignment="1">
      <alignment horizontal="left" vertical="center" wrapText="1"/>
    </xf>
    <xf numFmtId="168" fontId="23" fillId="0" borderId="1" xfId="15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vertical="center" wrapText="1"/>
    </xf>
    <xf numFmtId="168" fontId="23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78" fontId="0" fillId="0" borderId="7" xfId="0" applyNumberForma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4" xfId="15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5" fillId="0" borderId="3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179" fontId="0" fillId="0" borderId="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0" fillId="0" borderId="38" xfId="0" applyFont="1" applyBorder="1" applyAlignment="1">
      <alignment horizontal="left" vertical="center" wrapText="1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9" fontId="3" fillId="0" borderId="19" xfId="15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9" fontId="3" fillId="0" borderId="42" xfId="15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9" fontId="0" fillId="0" borderId="36" xfId="15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9" fontId="0" fillId="0" borderId="43" xfId="15" applyNumberFormat="1" applyFont="1" applyBorder="1" applyAlignment="1">
      <alignment horizontal="center" vertical="center"/>
    </xf>
    <xf numFmtId="169" fontId="0" fillId="0" borderId="44" xfId="15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69" fontId="3" fillId="0" borderId="21" xfId="15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9" fillId="0" borderId="5" xfId="18" applyNumberFormat="1" applyFont="1" applyBorder="1">
      <alignment/>
      <protection/>
    </xf>
    <xf numFmtId="0" fontId="9" fillId="0" borderId="5" xfId="18" applyNumberFormat="1" applyFont="1" applyBorder="1">
      <alignment/>
      <protection/>
    </xf>
    <xf numFmtId="4" fontId="9" fillId="0" borderId="3" xfId="18" applyNumberFormat="1" applyFont="1" applyBorder="1" applyAlignment="1">
      <alignment/>
      <protection/>
    </xf>
    <xf numFmtId="0" fontId="9" fillId="0" borderId="3" xfId="18" applyNumberFormat="1" applyFont="1" applyBorder="1" applyAlignment="1">
      <alignment/>
      <protection/>
    </xf>
    <xf numFmtId="4" fontId="9" fillId="0" borderId="4" xfId="18" applyNumberFormat="1" applyFont="1" applyBorder="1" applyAlignment="1">
      <alignment/>
      <protection/>
    </xf>
    <xf numFmtId="3" fontId="9" fillId="0" borderId="4" xfId="18" applyNumberFormat="1" applyFont="1" applyBorder="1">
      <alignment/>
      <protection/>
    </xf>
    <xf numFmtId="3" fontId="9" fillId="0" borderId="4" xfId="18" applyNumberFormat="1" applyFont="1" applyBorder="1" applyAlignment="1">
      <alignment/>
      <protection/>
    </xf>
    <xf numFmtId="4" fontId="9" fillId="0" borderId="2" xfId="18" applyNumberFormat="1" applyFont="1" applyBorder="1" applyAlignment="1">
      <alignment/>
      <protection/>
    </xf>
    <xf numFmtId="3" fontId="9" fillId="0" borderId="2" xfId="18" applyNumberFormat="1" applyFont="1" applyBorder="1" applyAlignment="1">
      <alignment/>
      <protection/>
    </xf>
    <xf numFmtId="4" fontId="9" fillId="0" borderId="5" xfId="18" applyNumberFormat="1" applyFont="1" applyBorder="1" applyAlignment="1">
      <alignment/>
      <protection/>
    </xf>
    <xf numFmtId="3" fontId="9" fillId="0" borderId="5" xfId="18" applyNumberFormat="1" applyFont="1" applyBorder="1" applyAlignment="1">
      <alignment/>
      <protection/>
    </xf>
    <xf numFmtId="4" fontId="9" fillId="0" borderId="2" xfId="18" applyNumberFormat="1" applyFont="1" applyBorder="1">
      <alignment/>
      <protection/>
    </xf>
    <xf numFmtId="0" fontId="9" fillId="0" borderId="11" xfId="18" applyFont="1" applyBorder="1">
      <alignment/>
      <protection/>
    </xf>
    <xf numFmtId="4" fontId="9" fillId="0" borderId="3" xfId="18" applyNumberFormat="1" applyFont="1" applyBorder="1">
      <alignment/>
      <protection/>
    </xf>
    <xf numFmtId="4" fontId="9" fillId="0" borderId="4" xfId="18" applyNumberFormat="1" applyFont="1" applyBorder="1">
      <alignment/>
      <protection/>
    </xf>
    <xf numFmtId="0" fontId="9" fillId="0" borderId="6" xfId="18" applyFont="1" applyBorder="1" applyAlignment="1">
      <alignment vertical="center"/>
      <protection/>
    </xf>
    <xf numFmtId="0" fontId="9" fillId="0" borderId="14" xfId="18" applyFont="1" applyBorder="1" applyAlignment="1">
      <alignment vertical="center"/>
      <protection/>
    </xf>
    <xf numFmtId="0" fontId="9" fillId="0" borderId="12" xfId="18" applyFont="1" applyBorder="1" applyAlignment="1">
      <alignment vertical="center"/>
      <protection/>
    </xf>
    <xf numFmtId="3" fontId="9" fillId="0" borderId="38" xfId="18" applyNumberFormat="1" applyFont="1" applyBorder="1">
      <alignment/>
      <protection/>
    </xf>
    <xf numFmtId="3" fontId="17" fillId="0" borderId="0" xfId="18" applyNumberFormat="1" applyFont="1">
      <alignment/>
      <protection/>
    </xf>
    <xf numFmtId="3" fontId="9" fillId="0" borderId="0" xfId="18" applyNumberFormat="1" applyFont="1" applyBorder="1">
      <alignment/>
      <protection/>
    </xf>
    <xf numFmtId="3" fontId="23" fillId="0" borderId="1" xfId="15" applyNumberFormat="1" applyFont="1" applyBorder="1" applyAlignment="1">
      <alignment horizontal="right" vertical="center" wrapText="1"/>
    </xf>
    <xf numFmtId="3" fontId="19" fillId="0" borderId="1" xfId="15" applyNumberFormat="1" applyFont="1" applyBorder="1" applyAlignment="1">
      <alignment horizontal="right" vertical="center" wrapText="1"/>
    </xf>
    <xf numFmtId="3" fontId="20" fillId="0" borderId="49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169" fontId="23" fillId="0" borderId="2" xfId="15" applyNumberFormat="1" applyFont="1" applyBorder="1" applyAlignment="1">
      <alignment horizontal="center" vertical="center" wrapText="1"/>
    </xf>
    <xf numFmtId="169" fontId="23" fillId="0" borderId="2" xfId="15" applyNumberFormat="1" applyFont="1" applyBorder="1" applyAlignment="1">
      <alignment horizontal="right" vertical="center" wrapText="1"/>
    </xf>
    <xf numFmtId="3" fontId="23" fillId="0" borderId="2" xfId="15" applyNumberFormat="1" applyFont="1" applyBorder="1" applyAlignment="1">
      <alignment horizontal="righ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169" fontId="23" fillId="0" borderId="3" xfId="15" applyNumberFormat="1" applyFont="1" applyBorder="1" applyAlignment="1">
      <alignment horizontal="center" vertical="center" wrapText="1"/>
    </xf>
    <xf numFmtId="169" fontId="23" fillId="0" borderId="3" xfId="15" applyNumberFormat="1" applyFont="1" applyBorder="1" applyAlignment="1">
      <alignment horizontal="right" vertical="center" wrapText="1"/>
    </xf>
    <xf numFmtId="3" fontId="23" fillId="0" borderId="3" xfId="15" applyNumberFormat="1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169" fontId="23" fillId="0" borderId="4" xfId="15" applyNumberFormat="1" applyFont="1" applyBorder="1" applyAlignment="1">
      <alignment horizontal="center" vertical="center" wrapText="1"/>
    </xf>
    <xf numFmtId="169" fontId="23" fillId="0" borderId="4" xfId="15" applyNumberFormat="1" applyFont="1" applyBorder="1" applyAlignment="1">
      <alignment horizontal="right" vertical="center" wrapText="1"/>
    </xf>
    <xf numFmtId="3" fontId="23" fillId="0" borderId="4" xfId="15" applyNumberFormat="1" applyFont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horizontal="right" vertical="center"/>
    </xf>
    <xf numFmtId="3" fontId="12" fillId="0" borderId="26" xfId="15" applyNumberFormat="1" applyFont="1" applyBorder="1" applyAlignment="1">
      <alignment horizontal="center" vertical="center" wrapText="1"/>
    </xf>
    <xf numFmtId="178" fontId="12" fillId="0" borderId="10" xfId="15" applyNumberFormat="1" applyFont="1" applyBorder="1" applyAlignment="1">
      <alignment horizontal="right" vertical="center" wrapText="1"/>
    </xf>
    <xf numFmtId="178" fontId="20" fillId="0" borderId="6" xfId="15" applyNumberFormat="1" applyFont="1" applyBorder="1" applyAlignment="1">
      <alignment horizontal="right" vertical="center" wrapText="1"/>
    </xf>
    <xf numFmtId="178" fontId="14" fillId="0" borderId="3" xfId="15" applyNumberFormat="1" applyFont="1" applyBorder="1" applyAlignment="1">
      <alignment horizontal="right" vertical="center" wrapText="1"/>
    </xf>
    <xf numFmtId="178" fontId="12" fillId="0" borderId="5" xfId="15" applyNumberFormat="1" applyFont="1" applyBorder="1" applyAlignment="1">
      <alignment horizontal="right" vertical="center" wrapText="1"/>
    </xf>
    <xf numFmtId="178" fontId="20" fillId="0" borderId="6" xfId="0" applyNumberFormat="1" applyFont="1" applyBorder="1" applyAlignment="1">
      <alignment horizontal="right" vertical="center" wrapText="1"/>
    </xf>
    <xf numFmtId="178" fontId="14" fillId="0" borderId="3" xfId="0" applyNumberFormat="1" applyFont="1" applyBorder="1" applyAlignment="1">
      <alignment horizontal="right" vertical="center" wrapText="1"/>
    </xf>
    <xf numFmtId="178" fontId="12" fillId="0" borderId="3" xfId="0" applyNumberFormat="1" applyFont="1" applyBorder="1" applyAlignment="1">
      <alignment horizontal="right" vertical="center" wrapText="1"/>
    </xf>
    <xf numFmtId="1" fontId="14" fillId="0" borderId="14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15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/>
    </xf>
    <xf numFmtId="169" fontId="23" fillId="0" borderId="6" xfId="15" applyNumberFormat="1" applyFont="1" applyBorder="1" applyAlignment="1">
      <alignment horizontal="center" vertical="center" wrapText="1"/>
    </xf>
    <xf numFmtId="169" fontId="23" fillId="0" borderId="6" xfId="15" applyNumberFormat="1" applyFont="1" applyBorder="1" applyAlignment="1">
      <alignment horizontal="right" vertical="center" wrapText="1"/>
    </xf>
    <xf numFmtId="0" fontId="23" fillId="0" borderId="4" xfId="0" applyFont="1" applyBorder="1" applyAlignment="1">
      <alignment vertical="center" wrapText="1"/>
    </xf>
    <xf numFmtId="169" fontId="23" fillId="0" borderId="14" xfId="15" applyNumberFormat="1" applyFont="1" applyBorder="1" applyAlignment="1">
      <alignment horizontal="center" vertical="center" wrapText="1"/>
    </xf>
    <xf numFmtId="169" fontId="23" fillId="0" borderId="14" xfId="15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1" fillId="0" borderId="3" xfId="15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/>
    </xf>
    <xf numFmtId="0" fontId="29" fillId="0" borderId="1" xfId="0" applyFont="1" applyBorder="1" applyAlignment="1">
      <alignment/>
    </xf>
    <xf numFmtId="3" fontId="29" fillId="0" borderId="1" xfId="0" applyNumberFormat="1" applyFont="1" applyBorder="1" applyAlignment="1">
      <alignment/>
    </xf>
    <xf numFmtId="0" fontId="33" fillId="0" borderId="0" xfId="0" applyFont="1" applyAlignment="1">
      <alignment/>
    </xf>
    <xf numFmtId="0" fontId="28" fillId="0" borderId="6" xfId="0" applyFont="1" applyBorder="1" applyAlignment="1">
      <alignment/>
    </xf>
    <xf numFmtId="0" fontId="28" fillId="0" borderId="6" xfId="0" applyFont="1" applyBorder="1" applyAlignment="1">
      <alignment horizontal="center"/>
    </xf>
    <xf numFmtId="0" fontId="28" fillId="0" borderId="55" xfId="0" applyFont="1" applyBorder="1" applyAlignment="1">
      <alignment horizontal="center" vertical="center" wrapText="1"/>
    </xf>
    <xf numFmtId="0" fontId="28" fillId="0" borderId="14" xfId="0" applyFont="1" applyBorder="1" applyAlignment="1">
      <alignment/>
    </xf>
    <xf numFmtId="0" fontId="28" fillId="0" borderId="12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3" fontId="28" fillId="0" borderId="12" xfId="0" applyNumberFormat="1" applyFont="1" applyBorder="1" applyAlignment="1">
      <alignment/>
    </xf>
    <xf numFmtId="0" fontId="28" fillId="0" borderId="14" xfId="0" applyFont="1" applyBorder="1" applyAlignment="1">
      <alignment/>
    </xf>
    <xf numFmtId="3" fontId="32" fillId="0" borderId="1" xfId="0" applyNumberFormat="1" applyFont="1" applyBorder="1" applyAlignment="1">
      <alignment/>
    </xf>
    <xf numFmtId="0" fontId="8" fillId="0" borderId="5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14" fillId="0" borderId="57" xfId="15" applyNumberFormat="1" applyFont="1" applyBorder="1" applyAlignment="1">
      <alignment vertical="center" wrapText="1"/>
    </xf>
    <xf numFmtId="3" fontId="12" fillId="0" borderId="15" xfId="15" applyNumberFormat="1" applyFont="1" applyBorder="1" applyAlignment="1">
      <alignment vertical="center" wrapText="1"/>
    </xf>
    <xf numFmtId="3" fontId="14" fillId="0" borderId="15" xfId="15" applyNumberFormat="1" applyFont="1" applyBorder="1" applyAlignment="1">
      <alignment vertical="center" wrapText="1"/>
    </xf>
    <xf numFmtId="3" fontId="12" fillId="0" borderId="35" xfId="15" applyNumberFormat="1" applyFont="1" applyBorder="1" applyAlignment="1">
      <alignment vertical="center" wrapText="1"/>
    </xf>
    <xf numFmtId="3" fontId="21" fillId="0" borderId="15" xfId="15" applyNumberFormat="1" applyFont="1" applyBorder="1" applyAlignment="1">
      <alignment vertical="center" wrapText="1"/>
    </xf>
    <xf numFmtId="3" fontId="20" fillId="0" borderId="34" xfId="15" applyNumberFormat="1" applyFont="1" applyBorder="1" applyAlignment="1">
      <alignment vertical="center" wrapText="1"/>
    </xf>
    <xf numFmtId="3" fontId="12" fillId="0" borderId="58" xfId="15" applyNumberFormat="1" applyFont="1" applyBorder="1" applyAlignment="1">
      <alignment vertical="center" wrapText="1"/>
    </xf>
    <xf numFmtId="3" fontId="14" fillId="0" borderId="35" xfId="15" applyNumberFormat="1" applyFont="1" applyBorder="1" applyAlignment="1">
      <alignment vertical="center" wrapText="1"/>
    </xf>
    <xf numFmtId="3" fontId="21" fillId="0" borderId="35" xfId="15" applyNumberFormat="1" applyFont="1" applyBorder="1" applyAlignment="1">
      <alignment vertical="center" wrapText="1"/>
    </xf>
    <xf numFmtId="3" fontId="14" fillId="0" borderId="34" xfId="15" applyNumberFormat="1" applyFont="1" applyBorder="1" applyAlignment="1">
      <alignment vertical="center" wrapText="1"/>
    </xf>
    <xf numFmtId="3" fontId="12" fillId="0" borderId="11" xfId="15" applyNumberFormat="1" applyFont="1" applyBorder="1" applyAlignment="1">
      <alignment vertical="center" wrapText="1"/>
    </xf>
    <xf numFmtId="3" fontId="12" fillId="0" borderId="59" xfId="15" applyNumberFormat="1" applyFont="1" applyBorder="1" applyAlignment="1">
      <alignment vertical="center" wrapText="1"/>
    </xf>
    <xf numFmtId="3" fontId="7" fillId="0" borderId="34" xfId="15" applyNumberFormat="1" applyFont="1" applyBorder="1" applyAlignment="1">
      <alignment vertical="center" wrapText="1"/>
    </xf>
    <xf numFmtId="3" fontId="20" fillId="0" borderId="60" xfId="15" applyNumberFormat="1" applyFont="1" applyBorder="1" applyAlignment="1">
      <alignment vertical="center" wrapText="1"/>
    </xf>
    <xf numFmtId="3" fontId="4" fillId="0" borderId="6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/>
    </xf>
    <xf numFmtId="0" fontId="12" fillId="0" borderId="3" xfId="0" applyFont="1" applyBorder="1" applyAlignment="1" quotePrefix="1">
      <alignment/>
    </xf>
    <xf numFmtId="0" fontId="0" fillId="0" borderId="3" xfId="0" applyBorder="1" applyAlignment="1">
      <alignment/>
    </xf>
    <xf numFmtId="0" fontId="14" fillId="0" borderId="3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21" fillId="0" borderId="3" xfId="0" applyFont="1" applyBorder="1" applyAlignment="1">
      <alignment/>
    </xf>
    <xf numFmtId="3" fontId="12" fillId="0" borderId="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2" fillId="0" borderId="10" xfId="0" applyFont="1" applyBorder="1" applyAlignment="1">
      <alignment/>
    </xf>
    <xf numFmtId="3" fontId="20" fillId="0" borderId="5" xfId="15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3" fontId="20" fillId="0" borderId="14" xfId="15" applyNumberFormat="1" applyFont="1" applyBorder="1" applyAlignment="1">
      <alignment vertical="center" wrapText="1"/>
    </xf>
    <xf numFmtId="0" fontId="12" fillId="0" borderId="5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64" xfId="0" applyFont="1" applyFill="1" applyBorder="1" applyAlignment="1">
      <alignment horizontal="center" vertical="center" wrapText="1"/>
    </xf>
    <xf numFmtId="3" fontId="14" fillId="0" borderId="65" xfId="15" applyNumberFormat="1" applyFont="1" applyBorder="1" applyAlignment="1">
      <alignment vertical="center" wrapText="1"/>
    </xf>
    <xf numFmtId="0" fontId="12" fillId="0" borderId="36" xfId="0" applyFont="1" applyBorder="1" applyAlignment="1">
      <alignment/>
    </xf>
    <xf numFmtId="3" fontId="14" fillId="0" borderId="66" xfId="15" applyNumberFormat="1" applyFont="1" applyBorder="1" applyAlignment="1">
      <alignment vertical="center" wrapText="1"/>
    </xf>
    <xf numFmtId="3" fontId="14" fillId="0" borderId="44" xfId="15" applyNumberFormat="1" applyFont="1" applyBorder="1" applyAlignment="1">
      <alignment vertical="center" wrapText="1"/>
    </xf>
    <xf numFmtId="3" fontId="12" fillId="0" borderId="67" xfId="15" applyNumberFormat="1" applyFont="1" applyBorder="1" applyAlignment="1">
      <alignment vertical="center" wrapText="1"/>
    </xf>
    <xf numFmtId="3" fontId="14" fillId="0" borderId="67" xfId="15" applyNumberFormat="1" applyFont="1" applyBorder="1" applyAlignment="1">
      <alignment vertical="center" wrapText="1"/>
    </xf>
    <xf numFmtId="3" fontId="14" fillId="0" borderId="36" xfId="0" applyNumberFormat="1" applyFont="1" applyBorder="1" applyAlignment="1">
      <alignment/>
    </xf>
    <xf numFmtId="3" fontId="12" fillId="0" borderId="68" xfId="15" applyNumberFormat="1" applyFont="1" applyBorder="1" applyAlignment="1">
      <alignment vertical="center" wrapText="1"/>
    </xf>
    <xf numFmtId="3" fontId="14" fillId="0" borderId="36" xfId="15" applyNumberFormat="1" applyFont="1" applyBorder="1" applyAlignment="1">
      <alignment vertical="center" wrapText="1"/>
    </xf>
    <xf numFmtId="3" fontId="21" fillId="0" borderId="67" xfId="15" applyNumberFormat="1" applyFont="1" applyBorder="1" applyAlignment="1">
      <alignment vertical="center" wrapText="1"/>
    </xf>
    <xf numFmtId="3" fontId="20" fillId="0" borderId="29" xfId="15" applyNumberFormat="1" applyFont="1" applyBorder="1" applyAlignment="1">
      <alignment vertical="center" wrapText="1"/>
    </xf>
    <xf numFmtId="3" fontId="20" fillId="0" borderId="30" xfId="15" applyNumberFormat="1" applyFont="1" applyBorder="1" applyAlignment="1">
      <alignment vertical="center" wrapText="1"/>
    </xf>
    <xf numFmtId="3" fontId="12" fillId="0" borderId="65" xfId="15" applyNumberFormat="1" applyFont="1" applyBorder="1" applyAlignment="1">
      <alignment vertical="center" wrapText="1"/>
    </xf>
    <xf numFmtId="3" fontId="14" fillId="0" borderId="68" xfId="15" applyNumberFormat="1" applyFont="1" applyBorder="1" applyAlignment="1">
      <alignment vertical="center" wrapText="1"/>
    </xf>
    <xf numFmtId="3" fontId="21" fillId="0" borderId="68" xfId="15" applyNumberFormat="1" applyFont="1" applyBorder="1" applyAlignment="1">
      <alignment vertical="center" wrapText="1"/>
    </xf>
    <xf numFmtId="3" fontId="21" fillId="0" borderId="69" xfId="15" applyNumberFormat="1" applyFont="1" applyBorder="1" applyAlignment="1">
      <alignment vertical="center" wrapText="1"/>
    </xf>
    <xf numFmtId="3" fontId="14" fillId="0" borderId="29" xfId="15" applyNumberFormat="1" applyFont="1" applyBorder="1" applyAlignment="1">
      <alignment vertical="center" wrapText="1"/>
    </xf>
    <xf numFmtId="0" fontId="14" fillId="0" borderId="36" xfId="0" applyFont="1" applyBorder="1" applyAlignment="1">
      <alignment/>
    </xf>
    <xf numFmtId="0" fontId="12" fillId="0" borderId="36" xfId="0" applyFont="1" applyBorder="1" applyAlignment="1">
      <alignment vertical="center"/>
    </xf>
    <xf numFmtId="3" fontId="20" fillId="0" borderId="66" xfId="15" applyNumberFormat="1" applyFont="1" applyBorder="1" applyAlignment="1">
      <alignment vertical="center" wrapText="1"/>
    </xf>
    <xf numFmtId="3" fontId="14" fillId="0" borderId="50" xfId="15" applyNumberFormat="1" applyFont="1" applyBorder="1" applyAlignment="1">
      <alignment vertical="center" wrapText="1"/>
    </xf>
    <xf numFmtId="3" fontId="12" fillId="0" borderId="50" xfId="15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/>
    </xf>
    <xf numFmtId="0" fontId="12" fillId="0" borderId="69" xfId="0" applyFont="1" applyBorder="1" applyAlignment="1">
      <alignment/>
    </xf>
    <xf numFmtId="3" fontId="20" fillId="0" borderId="44" xfId="0" applyNumberFormat="1" applyFont="1" applyBorder="1" applyAlignment="1">
      <alignment/>
    </xf>
    <xf numFmtId="3" fontId="12" fillId="0" borderId="70" xfId="15" applyNumberFormat="1" applyFont="1" applyBorder="1" applyAlignment="1">
      <alignment vertical="center" wrapText="1"/>
    </xf>
    <xf numFmtId="3" fontId="12" fillId="0" borderId="71" xfId="15" applyNumberFormat="1" applyFont="1" applyBorder="1" applyAlignment="1">
      <alignment vertical="center" wrapText="1"/>
    </xf>
    <xf numFmtId="3" fontId="14" fillId="0" borderId="69" xfId="15" applyNumberFormat="1" applyFont="1" applyBorder="1" applyAlignment="1">
      <alignment vertical="center" wrapText="1"/>
    </xf>
    <xf numFmtId="3" fontId="24" fillId="0" borderId="67" xfId="15" applyNumberFormat="1" applyFont="1" applyBorder="1" applyAlignment="1">
      <alignment vertical="center" wrapText="1"/>
    </xf>
    <xf numFmtId="3" fontId="18" fillId="0" borderId="48" xfId="15" applyNumberFormat="1" applyFont="1" applyBorder="1" applyAlignment="1">
      <alignment vertical="center"/>
    </xf>
    <xf numFmtId="0" fontId="8" fillId="0" borderId="72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49" fontId="35" fillId="0" borderId="74" xfId="0" applyFont="1" applyFill="1" applyBorder="1" applyAlignment="1">
      <alignment horizontal="center" vertical="center" wrapText="1"/>
    </xf>
    <xf numFmtId="3" fontId="14" fillId="0" borderId="45" xfId="15" applyNumberFormat="1" applyFont="1" applyBorder="1" applyAlignment="1">
      <alignment vertical="center" wrapText="1"/>
    </xf>
    <xf numFmtId="3" fontId="14" fillId="0" borderId="75" xfId="15" applyNumberFormat="1" applyFont="1" applyBorder="1" applyAlignment="1">
      <alignment vertical="center" wrapText="1"/>
    </xf>
    <xf numFmtId="3" fontId="12" fillId="0" borderId="46" xfId="15" applyNumberFormat="1" applyFont="1" applyBorder="1" applyAlignment="1">
      <alignment vertical="center" wrapText="1"/>
    </xf>
    <xf numFmtId="3" fontId="12" fillId="0" borderId="36" xfId="15" applyNumberFormat="1" applyFont="1" applyBorder="1" applyAlignment="1">
      <alignment vertical="center" wrapText="1"/>
    </xf>
    <xf numFmtId="3" fontId="14" fillId="0" borderId="46" xfId="15" applyNumberFormat="1" applyFont="1" applyBorder="1" applyAlignment="1">
      <alignment vertical="center" wrapText="1"/>
    </xf>
    <xf numFmtId="3" fontId="20" fillId="0" borderId="76" xfId="15" applyNumberFormat="1" applyFont="1" applyBorder="1" applyAlignment="1">
      <alignment vertical="center" wrapText="1"/>
    </xf>
    <xf numFmtId="3" fontId="20" fillId="0" borderId="44" xfId="15" applyNumberFormat="1" applyFont="1" applyBorder="1" applyAlignment="1">
      <alignment vertical="center" wrapText="1"/>
    </xf>
    <xf numFmtId="3" fontId="12" fillId="0" borderId="69" xfId="15" applyNumberFormat="1" applyFont="1" applyBorder="1" applyAlignment="1">
      <alignment vertical="center" wrapText="1"/>
    </xf>
    <xf numFmtId="3" fontId="21" fillId="0" borderId="46" xfId="15" applyNumberFormat="1" applyFont="1" applyBorder="1" applyAlignment="1">
      <alignment vertical="center" wrapText="1"/>
    </xf>
    <xf numFmtId="3" fontId="21" fillId="0" borderId="36" xfId="15" applyNumberFormat="1" applyFont="1" applyBorder="1" applyAlignment="1">
      <alignment vertical="center" wrapText="1"/>
    </xf>
    <xf numFmtId="3" fontId="20" fillId="0" borderId="25" xfId="15" applyNumberFormat="1" applyFont="1" applyBorder="1" applyAlignment="1">
      <alignment vertical="center" wrapText="1"/>
    </xf>
    <xf numFmtId="3" fontId="12" fillId="0" borderId="75" xfId="15" applyNumberFormat="1" applyFont="1" applyBorder="1" applyAlignment="1">
      <alignment vertical="center" wrapText="1"/>
    </xf>
    <xf numFmtId="3" fontId="12" fillId="0" borderId="77" xfId="15" applyNumberFormat="1" applyFont="1" applyBorder="1" applyAlignment="1">
      <alignment vertical="center" wrapText="1"/>
    </xf>
    <xf numFmtId="3" fontId="21" fillId="0" borderId="77" xfId="15" applyNumberFormat="1" applyFont="1" applyBorder="1" applyAlignment="1">
      <alignment vertical="center" wrapText="1"/>
    </xf>
    <xf numFmtId="3" fontId="14" fillId="0" borderId="77" xfId="15" applyNumberFormat="1" applyFont="1" applyBorder="1" applyAlignment="1">
      <alignment vertical="center" wrapText="1"/>
    </xf>
    <xf numFmtId="3" fontId="12" fillId="0" borderId="77" xfId="15" applyNumberFormat="1" applyFont="1" applyFill="1" applyBorder="1" applyAlignment="1">
      <alignment vertical="center" wrapText="1"/>
    </xf>
    <xf numFmtId="3" fontId="14" fillId="0" borderId="26" xfId="15" applyNumberFormat="1" applyFont="1" applyBorder="1" applyAlignment="1">
      <alignment vertical="center" wrapText="1"/>
    </xf>
    <xf numFmtId="3" fontId="14" fillId="0" borderId="42" xfId="15" applyNumberFormat="1" applyFont="1" applyBorder="1" applyAlignment="1">
      <alignment vertical="center" wrapText="1"/>
    </xf>
    <xf numFmtId="3" fontId="14" fillId="0" borderId="30" xfId="15" applyNumberFormat="1" applyFont="1" applyBorder="1" applyAlignment="1">
      <alignment vertical="center" wrapText="1"/>
    </xf>
    <xf numFmtId="3" fontId="12" fillId="0" borderId="26" xfId="15" applyNumberFormat="1" applyFont="1" applyBorder="1" applyAlignment="1">
      <alignment vertical="center" wrapText="1"/>
    </xf>
    <xf numFmtId="3" fontId="12" fillId="0" borderId="46" xfId="15" applyNumberFormat="1" applyFont="1" applyFill="1" applyBorder="1" applyAlignment="1">
      <alignment vertical="center" wrapText="1"/>
    </xf>
    <xf numFmtId="3" fontId="14" fillId="0" borderId="46" xfId="15" applyNumberFormat="1" applyFont="1" applyFill="1" applyBorder="1" applyAlignment="1">
      <alignment vertical="center" wrapText="1"/>
    </xf>
    <xf numFmtId="3" fontId="14" fillId="0" borderId="77" xfId="15" applyNumberFormat="1" applyFont="1" applyFill="1" applyBorder="1" applyAlignment="1">
      <alignment vertical="center" wrapText="1"/>
    </xf>
    <xf numFmtId="3" fontId="12" fillId="0" borderId="64" xfId="15" applyNumberFormat="1" applyFont="1" applyBorder="1" applyAlignment="1">
      <alignment vertical="center" wrapText="1"/>
    </xf>
    <xf numFmtId="3" fontId="12" fillId="0" borderId="47" xfId="15" applyNumberFormat="1" applyFont="1" applyBorder="1" applyAlignment="1">
      <alignment vertical="center" wrapText="1"/>
    </xf>
    <xf numFmtId="3" fontId="12" fillId="0" borderId="43" xfId="15" applyNumberFormat="1" applyFont="1" applyBorder="1" applyAlignment="1">
      <alignment vertical="center" wrapText="1"/>
    </xf>
    <xf numFmtId="3" fontId="3" fillId="0" borderId="76" xfId="15" applyNumberFormat="1" applyFont="1" applyBorder="1" applyAlignment="1">
      <alignment vertical="center" wrapText="1"/>
    </xf>
    <xf numFmtId="3" fontId="21" fillId="0" borderId="45" xfId="15" applyNumberFormat="1" applyFont="1" applyBorder="1" applyAlignment="1">
      <alignment vertical="center" wrapText="1"/>
    </xf>
    <xf numFmtId="3" fontId="14" fillId="0" borderId="46" xfId="0" applyNumberFormat="1" applyFont="1" applyBorder="1" applyAlignment="1">
      <alignment vertical="center" wrapText="1"/>
    </xf>
    <xf numFmtId="3" fontId="12" fillId="0" borderId="27" xfId="15" applyNumberFormat="1" applyFont="1" applyFill="1" applyBorder="1" applyAlignment="1">
      <alignment vertical="center" wrapText="1"/>
    </xf>
    <xf numFmtId="3" fontId="24" fillId="0" borderId="46" xfId="15" applyNumberFormat="1" applyFont="1" applyBorder="1" applyAlignment="1">
      <alignment vertical="center" wrapText="1"/>
    </xf>
    <xf numFmtId="3" fontId="14" fillId="0" borderId="78" xfId="15" applyNumberFormat="1" applyFont="1" applyBorder="1" applyAlignment="1">
      <alignment vertical="center" wrapText="1"/>
    </xf>
    <xf numFmtId="3" fontId="12" fillId="0" borderId="79" xfId="15" applyNumberFormat="1" applyFont="1" applyBorder="1" applyAlignment="1">
      <alignment vertical="center" wrapText="1"/>
    </xf>
    <xf numFmtId="3" fontId="20" fillId="0" borderId="80" xfId="15" applyNumberFormat="1" applyFont="1" applyBorder="1" applyAlignment="1">
      <alignment vertical="center" wrapText="1"/>
    </xf>
    <xf numFmtId="3" fontId="12" fillId="0" borderId="78" xfId="15" applyNumberFormat="1" applyFont="1" applyBorder="1" applyAlignment="1">
      <alignment vertical="center" wrapText="1"/>
    </xf>
    <xf numFmtId="3" fontId="20" fillId="0" borderId="81" xfId="15" applyNumberFormat="1" applyFont="1" applyBorder="1" applyAlignment="1">
      <alignment vertical="center" wrapText="1"/>
    </xf>
    <xf numFmtId="3" fontId="20" fillId="0" borderId="21" xfId="15" applyNumberFormat="1" applyFont="1" applyBorder="1" applyAlignment="1">
      <alignment vertical="center" wrapText="1"/>
    </xf>
    <xf numFmtId="3" fontId="12" fillId="0" borderId="82" xfId="15" applyNumberFormat="1" applyFont="1" applyBorder="1" applyAlignment="1">
      <alignment vertical="center" wrapText="1"/>
    </xf>
    <xf numFmtId="3" fontId="14" fillId="0" borderId="25" xfId="15" applyNumberFormat="1" applyFont="1" applyBorder="1" applyAlignment="1">
      <alignment vertical="center" wrapText="1"/>
    </xf>
    <xf numFmtId="3" fontId="20" fillId="0" borderId="83" xfId="15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/>
    </xf>
    <xf numFmtId="3" fontId="20" fillId="0" borderId="48" xfId="15" applyNumberFormat="1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/>
    </xf>
    <xf numFmtId="3" fontId="20" fillId="0" borderId="85" xfId="15" applyNumberFormat="1" applyFont="1" applyBorder="1" applyAlignment="1">
      <alignment vertical="center" wrapText="1"/>
    </xf>
    <xf numFmtId="3" fontId="14" fillId="0" borderId="47" xfId="15" applyNumberFormat="1" applyFont="1" applyBorder="1" applyAlignment="1">
      <alignment vertical="center" wrapText="1"/>
    </xf>
    <xf numFmtId="3" fontId="14" fillId="0" borderId="86" xfId="15" applyNumberFormat="1" applyFont="1" applyBorder="1" applyAlignment="1">
      <alignment vertical="center" wrapText="1"/>
    </xf>
    <xf numFmtId="0" fontId="12" fillId="0" borderId="44" xfId="0" applyFont="1" applyBorder="1" applyAlignment="1">
      <alignment/>
    </xf>
    <xf numFmtId="0" fontId="12" fillId="0" borderId="43" xfId="0" applyFont="1" applyBorder="1" applyAlignment="1">
      <alignment/>
    </xf>
    <xf numFmtId="3" fontId="7" fillId="0" borderId="50" xfId="15" applyNumberFormat="1" applyFont="1" applyBorder="1" applyAlignment="1">
      <alignment vertical="center" wrapText="1"/>
    </xf>
    <xf numFmtId="0" fontId="12" fillId="0" borderId="75" xfId="0" applyFont="1" applyBorder="1" applyAlignment="1">
      <alignment/>
    </xf>
    <xf numFmtId="0" fontId="12" fillId="0" borderId="75" xfId="0" applyFont="1" applyBorder="1" applyAlignment="1">
      <alignment horizontal="center" vertical="center"/>
    </xf>
    <xf numFmtId="0" fontId="0" fillId="0" borderId="36" xfId="0" applyBorder="1" applyAlignment="1">
      <alignment/>
    </xf>
    <xf numFmtId="3" fontId="4" fillId="0" borderId="87" xfId="0" applyNumberFormat="1" applyFont="1" applyBorder="1" applyAlignment="1">
      <alignment vertical="center"/>
    </xf>
    <xf numFmtId="0" fontId="12" fillId="0" borderId="88" xfId="0" applyFont="1" applyBorder="1" applyAlignment="1">
      <alignment/>
    </xf>
    <xf numFmtId="176" fontId="20" fillId="0" borderId="5" xfId="0" applyNumberFormat="1" applyFont="1" applyBorder="1" applyAlignment="1">
      <alignment horizontal="right" vertical="center" wrapText="1"/>
    </xf>
    <xf numFmtId="3" fontId="20" fillId="0" borderId="5" xfId="0" applyNumberFormat="1" applyFont="1" applyBorder="1" applyAlignment="1">
      <alignment vertical="center" wrapText="1"/>
    </xf>
    <xf numFmtId="3" fontId="20" fillId="0" borderId="45" xfId="15" applyNumberFormat="1" applyFont="1" applyBorder="1" applyAlignment="1">
      <alignment vertical="center" wrapText="1"/>
    </xf>
    <xf numFmtId="3" fontId="20" fillId="0" borderId="75" xfId="15" applyNumberFormat="1" applyFont="1" applyBorder="1" applyAlignment="1">
      <alignment vertical="center" wrapText="1"/>
    </xf>
    <xf numFmtId="3" fontId="20" fillId="0" borderId="65" xfId="15" applyNumberFormat="1" applyFont="1" applyBorder="1" applyAlignment="1">
      <alignment vertical="center" wrapText="1"/>
    </xf>
    <xf numFmtId="0" fontId="12" fillId="0" borderId="2" xfId="0" applyFont="1" applyBorder="1" applyAlignment="1">
      <alignment/>
    </xf>
    <xf numFmtId="0" fontId="12" fillId="0" borderId="44" xfId="0" applyFont="1" applyBorder="1" applyAlignment="1">
      <alignment/>
    </xf>
    <xf numFmtId="3" fontId="20" fillId="0" borderId="2" xfId="0" applyNumberFormat="1" applyFont="1" applyBorder="1" applyAlignment="1">
      <alignment horizontal="right" vertical="center" wrapText="1"/>
    </xf>
    <xf numFmtId="3" fontId="14" fillId="0" borderId="71" xfId="15" applyNumberFormat="1" applyFont="1" applyBorder="1" applyAlignment="1">
      <alignment vertical="center" wrapText="1"/>
    </xf>
    <xf numFmtId="3" fontId="20" fillId="0" borderId="25" xfId="0" applyNumberFormat="1" applyFont="1" applyBorder="1" applyAlignment="1" quotePrefix="1">
      <alignment horizontal="center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3" fontId="21" fillId="0" borderId="26" xfId="15" applyNumberFormat="1" applyFont="1" applyBorder="1" applyAlignment="1">
      <alignment horizontal="center" vertical="center" wrapText="1"/>
    </xf>
    <xf numFmtId="3" fontId="12" fillId="0" borderId="27" xfId="15" applyNumberFormat="1" applyFont="1" applyBorder="1" applyAlignment="1">
      <alignment horizontal="center" vertical="center" wrapText="1"/>
    </xf>
    <xf numFmtId="176" fontId="20" fillId="0" borderId="80" xfId="15" applyNumberFormat="1" applyFont="1" applyBorder="1" applyAlignment="1">
      <alignment horizontal="right" vertical="center" wrapText="1"/>
    </xf>
    <xf numFmtId="176" fontId="14" fillId="0" borderId="78" xfId="15" applyNumberFormat="1" applyFont="1" applyBorder="1" applyAlignment="1">
      <alignment horizontal="right" vertical="center" wrapText="1"/>
    </xf>
    <xf numFmtId="176" fontId="12" fillId="0" borderId="78" xfId="15" applyNumberFormat="1" applyFont="1" applyBorder="1" applyAlignment="1">
      <alignment horizontal="right" vertical="center" wrapText="1"/>
    </xf>
    <xf numFmtId="176" fontId="12" fillId="0" borderId="82" xfId="15" applyNumberFormat="1" applyFont="1" applyBorder="1" applyAlignment="1">
      <alignment horizontal="right" vertical="center" wrapText="1"/>
    </xf>
    <xf numFmtId="176" fontId="12" fillId="0" borderId="79" xfId="15" applyNumberFormat="1" applyFont="1" applyBorder="1" applyAlignment="1">
      <alignment horizontal="right" vertical="center" wrapText="1"/>
    </xf>
    <xf numFmtId="176" fontId="14" fillId="0" borderId="79" xfId="15" applyNumberFormat="1" applyFont="1" applyBorder="1" applyAlignment="1">
      <alignment horizontal="right" vertical="center" wrapText="1"/>
    </xf>
    <xf numFmtId="3" fontId="14" fillId="0" borderId="89" xfId="15" applyNumberFormat="1" applyFont="1" applyBorder="1" applyAlignment="1">
      <alignment horizontal="center" vertical="center" wrapText="1"/>
    </xf>
    <xf numFmtId="3" fontId="12" fillId="0" borderId="90" xfId="15" applyNumberFormat="1" applyFont="1" applyBorder="1" applyAlignment="1">
      <alignment horizontal="center" vertical="center" wrapText="1"/>
    </xf>
    <xf numFmtId="3" fontId="12" fillId="0" borderId="91" xfId="15" applyNumberFormat="1" applyFont="1" applyBorder="1" applyAlignment="1">
      <alignment horizontal="center" vertical="center" wrapText="1"/>
    </xf>
    <xf numFmtId="3" fontId="14" fillId="0" borderId="27" xfId="15" applyNumberFormat="1" applyFont="1" applyBorder="1" applyAlignment="1">
      <alignment horizontal="center" vertical="center" wrapText="1"/>
    </xf>
    <xf numFmtId="3" fontId="20" fillId="0" borderId="9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8" fillId="0" borderId="12" xfId="0" applyFont="1" applyBorder="1" applyAlignment="1">
      <alignment/>
    </xf>
    <xf numFmtId="3" fontId="28" fillId="0" borderId="13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55" xfId="0" applyFont="1" applyBorder="1" applyAlignment="1">
      <alignment/>
    </xf>
    <xf numFmtId="0" fontId="28" fillId="0" borderId="93" xfId="0" applyFont="1" applyBorder="1" applyAlignment="1">
      <alignment/>
    </xf>
    <xf numFmtId="0" fontId="28" fillId="0" borderId="56" xfId="0" applyFont="1" applyBorder="1" applyAlignment="1">
      <alignment/>
    </xf>
    <xf numFmtId="3" fontId="28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80" xfId="0" applyFont="1" applyBorder="1" applyAlignment="1">
      <alignment/>
    </xf>
    <xf numFmtId="0" fontId="28" fillId="0" borderId="94" xfId="0" applyFont="1" applyBorder="1" applyAlignment="1">
      <alignment/>
    </xf>
    <xf numFmtId="3" fontId="28" fillId="0" borderId="14" xfId="0" applyNumberFormat="1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11" xfId="0" applyFont="1" applyBorder="1" applyAlignment="1">
      <alignment/>
    </xf>
    <xf numFmtId="0" fontId="36" fillId="0" borderId="13" xfId="0" applyFont="1" applyBorder="1" applyAlignment="1" quotePrefix="1">
      <alignment vertical="center" wrapText="1"/>
    </xf>
    <xf numFmtId="0" fontId="28" fillId="0" borderId="95" xfId="0" applyFont="1" applyBorder="1" applyAlignment="1">
      <alignment/>
    </xf>
    <xf numFmtId="0" fontId="28" fillId="0" borderId="9" xfId="0" applyFont="1" applyBorder="1" applyAlignment="1">
      <alignment/>
    </xf>
    <xf numFmtId="3" fontId="28" fillId="0" borderId="6" xfId="0" applyNumberFormat="1" applyFont="1" applyBorder="1" applyAlignment="1">
      <alignment/>
    </xf>
    <xf numFmtId="0" fontId="28" fillId="0" borderId="33" xfId="0" applyFont="1" applyBorder="1" applyAlignment="1">
      <alignment/>
    </xf>
    <xf numFmtId="3" fontId="28" fillId="0" borderId="8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9" fillId="0" borderId="80" xfId="0" applyFont="1" applyBorder="1" applyAlignment="1">
      <alignment/>
    </xf>
    <xf numFmtId="3" fontId="28" fillId="0" borderId="55" xfId="0" applyNumberFormat="1" applyFont="1" applyBorder="1" applyAlignment="1">
      <alignment/>
    </xf>
    <xf numFmtId="3" fontId="28" fillId="0" borderId="56" xfId="0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2" xfId="0" applyFont="1" applyBorder="1" applyAlignment="1">
      <alignment/>
    </xf>
    <xf numFmtId="1" fontId="28" fillId="0" borderId="2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3" fontId="28" fillId="0" borderId="96" xfId="0" applyNumberFormat="1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3" xfId="0" applyFont="1" applyBorder="1" applyAlignment="1">
      <alignment/>
    </xf>
    <xf numFmtId="1" fontId="28" fillId="0" borderId="3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78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4" xfId="0" applyFont="1" applyBorder="1" applyAlignment="1">
      <alignment/>
    </xf>
    <xf numFmtId="1" fontId="28" fillId="0" borderId="4" xfId="0" applyNumberFormat="1" applyFont="1" applyBorder="1" applyAlignment="1">
      <alignment/>
    </xf>
    <xf numFmtId="3" fontId="28" fillId="0" borderId="59" xfId="0" applyNumberFormat="1" applyFont="1" applyBorder="1" applyAlignment="1">
      <alignment/>
    </xf>
    <xf numFmtId="3" fontId="28" fillId="0" borderId="86" xfId="0" applyNumberFormat="1" applyFont="1" applyBorder="1" applyAlignment="1">
      <alignment/>
    </xf>
    <xf numFmtId="0" fontId="28" fillId="0" borderId="59" xfId="0" applyFont="1" applyBorder="1" applyAlignment="1">
      <alignment/>
    </xf>
    <xf numFmtId="3" fontId="12" fillId="0" borderId="6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36" fillId="0" borderId="2" xfId="0" applyFont="1" applyBorder="1" applyAlignment="1">
      <alignment horizontal="center" vertical="center"/>
    </xf>
    <xf numFmtId="3" fontId="36" fillId="0" borderId="2" xfId="0" applyNumberFormat="1" applyFont="1" applyBorder="1" applyAlignment="1">
      <alignment horizontal="center" vertical="center"/>
    </xf>
    <xf numFmtId="3" fontId="36" fillId="0" borderId="2" xfId="0" applyNumberFormat="1" applyFont="1" applyFill="1" applyBorder="1" applyAlignment="1" applyProtection="1">
      <alignment horizontal="center" vertical="center"/>
      <protection locked="0"/>
    </xf>
    <xf numFmtId="3" fontId="36" fillId="0" borderId="2" xfId="0" applyNumberFormat="1" applyFont="1" applyBorder="1" applyAlignment="1" applyProtection="1">
      <alignment vertical="center"/>
      <protection locked="0"/>
    </xf>
    <xf numFmtId="3" fontId="36" fillId="0" borderId="2" xfId="0" applyNumberFormat="1" applyFont="1" applyBorder="1" applyAlignment="1" applyProtection="1">
      <alignment vertical="center" wrapText="1"/>
      <protection locked="0"/>
    </xf>
    <xf numFmtId="3" fontId="36" fillId="0" borderId="2" xfId="0" applyNumberFormat="1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horizontal="center" vertical="center"/>
    </xf>
    <xf numFmtId="3" fontId="36" fillId="0" borderId="3" xfId="0" applyNumberFormat="1" applyFont="1" applyBorder="1" applyAlignment="1">
      <alignment horizontal="center" vertical="center"/>
    </xf>
    <xf numFmtId="3" fontId="36" fillId="0" borderId="3" xfId="0" applyNumberFormat="1" applyFont="1" applyFill="1" applyBorder="1" applyAlignment="1" applyProtection="1">
      <alignment horizontal="center" vertical="center"/>
      <protection locked="0"/>
    </xf>
    <xf numFmtId="3" fontId="36" fillId="0" borderId="3" xfId="0" applyNumberFormat="1" applyFont="1" applyBorder="1" applyAlignment="1" applyProtection="1">
      <alignment vertical="center"/>
      <protection locked="0"/>
    </xf>
    <xf numFmtId="3" fontId="36" fillId="0" borderId="3" xfId="0" applyNumberFormat="1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3" fontId="36" fillId="0" borderId="1" xfId="0" applyNumberFormat="1" applyFont="1" applyBorder="1" applyAlignment="1">
      <alignment horizontal="center" vertical="center"/>
    </xf>
    <xf numFmtId="3" fontId="36" fillId="0" borderId="1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14" fillId="0" borderId="10" xfId="0" applyNumberFormat="1" applyFont="1" applyBorder="1" applyAlignment="1">
      <alignment horizontal="right" vertical="center" wrapText="1"/>
    </xf>
    <xf numFmtId="3" fontId="12" fillId="0" borderId="49" xfId="0" applyNumberFormat="1" applyFont="1" applyBorder="1" applyAlignment="1">
      <alignment horizontal="right" vertical="center" wrapText="1"/>
    </xf>
    <xf numFmtId="3" fontId="12" fillId="0" borderId="49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9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15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5" xfId="15" applyNumberFormat="1" applyFont="1" applyBorder="1" applyAlignment="1">
      <alignment vertical="center"/>
    </xf>
    <xf numFmtId="3" fontId="0" fillId="0" borderId="10" xfId="15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3" xfId="15" applyNumberFormat="1" applyBorder="1" applyAlignment="1">
      <alignment vertical="center"/>
    </xf>
    <xf numFmtId="3" fontId="0" fillId="0" borderId="5" xfId="15" applyNumberFormat="1" applyBorder="1" applyAlignment="1">
      <alignment vertical="center"/>
    </xf>
    <xf numFmtId="3" fontId="0" fillId="0" borderId="10" xfId="15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39" fillId="0" borderId="0" xfId="0" applyFont="1" applyAlignment="1">
      <alignment/>
    </xf>
    <xf numFmtId="3" fontId="3" fillId="0" borderId="37" xfId="15" applyNumberFormat="1" applyFont="1" applyBorder="1" applyAlignment="1">
      <alignment vertical="center"/>
    </xf>
    <xf numFmtId="3" fontId="3" fillId="0" borderId="61" xfId="15" applyNumberFormat="1" applyFont="1" applyBorder="1" applyAlignment="1">
      <alignment vertical="center"/>
    </xf>
    <xf numFmtId="3" fontId="3" fillId="0" borderId="97" xfId="15" applyNumberFormat="1" applyFont="1" applyBorder="1" applyAlignment="1">
      <alignment vertical="center"/>
    </xf>
    <xf numFmtId="3" fontId="3" fillId="0" borderId="84" xfId="15" applyNumberFormat="1" applyFont="1" applyBorder="1" applyAlignment="1">
      <alignment vertical="center"/>
    </xf>
    <xf numFmtId="3" fontId="3" fillId="0" borderId="87" xfId="15" applyNumberFormat="1" applyFont="1" applyBorder="1" applyAlignment="1">
      <alignment vertical="center"/>
    </xf>
    <xf numFmtId="3" fontId="18" fillId="0" borderId="12" xfId="15" applyNumberFormat="1" applyFont="1" applyBorder="1" applyAlignment="1">
      <alignment vertical="center"/>
    </xf>
    <xf numFmtId="3" fontId="18" fillId="0" borderId="64" xfId="15" applyNumberFormat="1" applyFont="1" applyBorder="1" applyAlignment="1">
      <alignment vertical="center"/>
    </xf>
    <xf numFmtId="0" fontId="40" fillId="0" borderId="41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5" xfId="0" applyFont="1" applyBorder="1" applyAlignment="1">
      <alignment horizontal="left" vertical="center" indent="1"/>
    </xf>
    <xf numFmtId="3" fontId="22" fillId="0" borderId="5" xfId="15" applyNumberFormat="1" applyFont="1" applyBorder="1" applyAlignment="1">
      <alignment vertical="center"/>
    </xf>
    <xf numFmtId="3" fontId="22" fillId="0" borderId="58" xfId="15" applyNumberFormat="1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3" xfId="0" applyFont="1" applyBorder="1" applyAlignment="1">
      <alignment horizontal="left" vertical="center" indent="1"/>
    </xf>
    <xf numFmtId="3" fontId="22" fillId="0" borderId="3" xfId="15" applyNumberFormat="1" applyFont="1" applyBorder="1" applyAlignment="1">
      <alignment vertical="center"/>
    </xf>
    <xf numFmtId="3" fontId="22" fillId="0" borderId="15" xfId="15" applyNumberFormat="1" applyFont="1" applyBorder="1" applyAlignment="1">
      <alignment vertical="center"/>
    </xf>
    <xf numFmtId="3" fontId="22" fillId="0" borderId="67" xfId="15" applyNumberFormat="1" applyFont="1" applyBorder="1" applyAlignment="1">
      <alignment vertical="center"/>
    </xf>
    <xf numFmtId="3" fontId="22" fillId="0" borderId="36" xfId="15" applyNumberFormat="1" applyFont="1" applyBorder="1" applyAlignment="1">
      <alignment vertical="center"/>
    </xf>
    <xf numFmtId="0" fontId="22" fillId="0" borderId="77" xfId="0" applyFont="1" applyBorder="1" applyAlignment="1">
      <alignment vertical="center"/>
    </xf>
    <xf numFmtId="0" fontId="22" fillId="0" borderId="10" xfId="0" applyFont="1" applyBorder="1" applyAlignment="1">
      <alignment horizontal="left" vertical="center" indent="1"/>
    </xf>
    <xf numFmtId="3" fontId="22" fillId="0" borderId="10" xfId="15" applyNumberFormat="1" applyFont="1" applyBorder="1" applyAlignment="1">
      <alignment vertical="center"/>
    </xf>
    <xf numFmtId="3" fontId="22" fillId="0" borderId="35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0" fillId="0" borderId="46" xfId="15" applyNumberFormat="1" applyFont="1" applyBorder="1" applyAlignment="1">
      <alignment vertical="center" wrapText="1"/>
    </xf>
    <xf numFmtId="3" fontId="20" fillId="0" borderId="6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2" fillId="0" borderId="1" xfId="15" applyNumberFormat="1" applyFont="1" applyBorder="1" applyAlignment="1">
      <alignment vertical="center"/>
    </xf>
    <xf numFmtId="3" fontId="22" fillId="0" borderId="41" xfId="15" applyNumberFormat="1" applyFont="1" applyBorder="1" applyAlignment="1">
      <alignment vertical="center"/>
    </xf>
    <xf numFmtId="3" fontId="22" fillId="0" borderId="18" xfId="0" applyNumberFormat="1" applyFont="1" applyBorder="1" applyAlignment="1">
      <alignment wrapText="1"/>
    </xf>
    <xf numFmtId="3" fontId="22" fillId="0" borderId="12" xfId="15" applyNumberFormat="1" applyFont="1" applyBorder="1" applyAlignment="1">
      <alignment vertical="center"/>
    </xf>
    <xf numFmtId="3" fontId="22" fillId="0" borderId="13" xfId="15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20" xfId="0" applyFont="1" applyBorder="1" applyAlignment="1">
      <alignment/>
    </xf>
    <xf numFmtId="3" fontId="18" fillId="0" borderId="24" xfId="15" applyNumberFormat="1" applyFont="1" applyBorder="1" applyAlignment="1">
      <alignment horizontal="center" vertical="center"/>
    </xf>
    <xf numFmtId="3" fontId="18" fillId="0" borderId="60" xfId="15" applyNumberFormat="1" applyFont="1" applyBorder="1" applyAlignment="1">
      <alignment horizontal="center" vertical="center"/>
    </xf>
    <xf numFmtId="3" fontId="18" fillId="0" borderId="48" xfId="15" applyNumberFormat="1" applyFont="1" applyBorder="1" applyAlignment="1">
      <alignment horizontal="center" vertical="center"/>
    </xf>
    <xf numFmtId="3" fontId="18" fillId="0" borderId="98" xfId="15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" fontId="22" fillId="0" borderId="90" xfId="15" applyNumberFormat="1" applyFont="1" applyBorder="1" applyAlignment="1">
      <alignment vertical="center" wrapText="1"/>
    </xf>
    <xf numFmtId="3" fontId="5" fillId="0" borderId="99" xfId="0" applyNumberFormat="1" applyFont="1" applyBorder="1" applyAlignment="1">
      <alignment vertical="center"/>
    </xf>
    <xf numFmtId="3" fontId="18" fillId="0" borderId="21" xfId="15" applyNumberFormat="1" applyFont="1" applyBorder="1" applyAlignment="1">
      <alignment horizontal="center" vertical="center"/>
    </xf>
    <xf numFmtId="3" fontId="22" fillId="0" borderId="64" xfId="15" applyNumberFormat="1" applyFont="1" applyBorder="1" applyAlignment="1">
      <alignment vertical="center"/>
    </xf>
    <xf numFmtId="3" fontId="22" fillId="0" borderId="14" xfId="15" applyNumberFormat="1" applyFont="1" applyBorder="1" applyAlignment="1">
      <alignment vertical="center"/>
    </xf>
    <xf numFmtId="3" fontId="22" fillId="0" borderId="11" xfId="15" applyNumberFormat="1" applyFont="1" applyBorder="1" applyAlignment="1">
      <alignment vertical="center"/>
    </xf>
    <xf numFmtId="3" fontId="22" fillId="0" borderId="42" xfId="15" applyNumberFormat="1" applyFont="1" applyBorder="1" applyAlignment="1">
      <alignment vertical="center"/>
    </xf>
    <xf numFmtId="3" fontId="22" fillId="0" borderId="26" xfId="15" applyNumberFormat="1" applyFont="1" applyBorder="1" applyAlignment="1">
      <alignment vertical="center"/>
    </xf>
    <xf numFmtId="3" fontId="5" fillId="0" borderId="100" xfId="0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41" xfId="0" applyFont="1" applyBorder="1" applyAlignment="1">
      <alignment/>
    </xf>
    <xf numFmtId="3" fontId="28" fillId="0" borderId="19" xfId="0" applyNumberFormat="1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6" xfId="0" applyFont="1" applyBorder="1" applyAlignment="1">
      <alignment/>
    </xf>
    <xf numFmtId="3" fontId="29" fillId="0" borderId="21" xfId="0" applyNumberFormat="1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101" xfId="0" applyFont="1" applyBorder="1" applyAlignment="1">
      <alignment/>
    </xf>
    <xf numFmtId="0" fontId="28" fillId="0" borderId="102" xfId="0" applyFont="1" applyBorder="1" applyAlignment="1">
      <alignment/>
    </xf>
    <xf numFmtId="0" fontId="28" fillId="0" borderId="103" xfId="0" applyFont="1" applyBorder="1" applyAlignment="1">
      <alignment/>
    </xf>
    <xf numFmtId="0" fontId="28" fillId="0" borderId="104" xfId="0" applyFont="1" applyBorder="1" applyAlignment="1">
      <alignment/>
    </xf>
    <xf numFmtId="3" fontId="28" fillId="0" borderId="105" xfId="0" applyNumberFormat="1" applyFont="1" applyBorder="1" applyAlignment="1">
      <alignment/>
    </xf>
    <xf numFmtId="0" fontId="28" fillId="0" borderId="106" xfId="0" applyFont="1" applyBorder="1" applyAlignment="1">
      <alignment/>
    </xf>
    <xf numFmtId="0" fontId="28" fillId="0" borderId="107" xfId="0" applyFont="1" applyBorder="1" applyAlignment="1">
      <alignment/>
    </xf>
    <xf numFmtId="0" fontId="28" fillId="0" borderId="108" xfId="0" applyFont="1" applyBorder="1" applyAlignment="1">
      <alignment/>
    </xf>
    <xf numFmtId="3" fontId="28" fillId="0" borderId="109" xfId="0" applyNumberFormat="1" applyFont="1" applyBorder="1" applyAlignment="1">
      <alignment/>
    </xf>
    <xf numFmtId="0" fontId="28" fillId="0" borderId="110" xfId="0" applyFont="1" applyBorder="1" applyAlignment="1">
      <alignment/>
    </xf>
    <xf numFmtId="0" fontId="28" fillId="0" borderId="111" xfId="0" applyFont="1" applyBorder="1" applyAlignment="1">
      <alignment/>
    </xf>
    <xf numFmtId="0" fontId="28" fillId="0" borderId="112" xfId="0" applyFont="1" applyBorder="1" applyAlignment="1">
      <alignment/>
    </xf>
    <xf numFmtId="3" fontId="28" fillId="0" borderId="113" xfId="0" applyNumberFormat="1" applyFont="1" applyBorder="1" applyAlignment="1">
      <alignment/>
    </xf>
    <xf numFmtId="3" fontId="22" fillId="0" borderId="66" xfId="15" applyNumberFormat="1" applyFont="1" applyBorder="1" applyAlignment="1">
      <alignment vertical="center"/>
    </xf>
    <xf numFmtId="3" fontId="22" fillId="0" borderId="66" xfId="0" applyNumberFormat="1" applyFont="1" applyBorder="1" applyAlignment="1">
      <alignment/>
    </xf>
    <xf numFmtId="3" fontId="22" fillId="0" borderId="2" xfId="15" applyNumberFormat="1" applyFont="1" applyBorder="1" applyAlignment="1">
      <alignment vertical="center"/>
    </xf>
    <xf numFmtId="3" fontId="22" fillId="0" borderId="44" xfId="15" applyNumberFormat="1" applyFont="1" applyBorder="1" applyAlignment="1">
      <alignment vertical="center"/>
    </xf>
    <xf numFmtId="3" fontId="22" fillId="0" borderId="67" xfId="0" applyNumberFormat="1" applyFont="1" applyBorder="1" applyAlignment="1">
      <alignment/>
    </xf>
    <xf numFmtId="3" fontId="22" fillId="0" borderId="114" xfId="15" applyNumberFormat="1" applyFont="1" applyBorder="1" applyAlignment="1">
      <alignment vertical="center"/>
    </xf>
    <xf numFmtId="3" fontId="22" fillId="0" borderId="114" xfId="0" applyNumberFormat="1" applyFont="1" applyBorder="1" applyAlignment="1">
      <alignment/>
    </xf>
    <xf numFmtId="3" fontId="22" fillId="0" borderId="115" xfId="15" applyNumberFormat="1" applyFont="1" applyBorder="1" applyAlignment="1">
      <alignment vertical="center"/>
    </xf>
    <xf numFmtId="3" fontId="22" fillId="0" borderId="116" xfId="15" applyNumberFormat="1" applyFont="1" applyBorder="1" applyAlignment="1">
      <alignment vertical="center"/>
    </xf>
    <xf numFmtId="3" fontId="0" fillId="0" borderId="3" xfId="15" applyNumberFormat="1" applyFont="1" applyBorder="1" applyAlignment="1">
      <alignment horizontal="center" vertical="center" wrapText="1"/>
    </xf>
    <xf numFmtId="3" fontId="0" fillId="0" borderId="10" xfId="15" applyNumberFormat="1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7" fillId="0" borderId="0" xfId="18" applyFont="1">
      <alignment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15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17" xfId="0" applyBorder="1" applyAlignment="1">
      <alignment/>
    </xf>
    <xf numFmtId="0" fontId="4" fillId="0" borderId="118" xfId="0" applyFont="1" applyBorder="1" applyAlignment="1">
      <alignment vertical="center"/>
    </xf>
    <xf numFmtId="0" fontId="0" fillId="0" borderId="118" xfId="0" applyBorder="1" applyAlignment="1">
      <alignment vertical="center"/>
    </xf>
    <xf numFmtId="0" fontId="3" fillId="0" borderId="119" xfId="0" applyFont="1" applyBorder="1" applyAlignment="1">
      <alignment/>
    </xf>
    <xf numFmtId="0" fontId="0" fillId="0" borderId="50" xfId="0" applyBorder="1" applyAlignment="1">
      <alignment/>
    </xf>
    <xf numFmtId="0" fontId="3" fillId="2" borderId="120" xfId="0" applyFont="1" applyFill="1" applyBorder="1" applyAlignment="1">
      <alignment horizontal="center" vertical="center"/>
    </xf>
    <xf numFmtId="0" fontId="3" fillId="2" borderId="121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2" borderId="92" xfId="0" applyFont="1" applyFill="1" applyBorder="1" applyAlignment="1">
      <alignment horizontal="center" vertical="center"/>
    </xf>
    <xf numFmtId="0" fontId="3" fillId="2" borderId="122" xfId="0" applyFont="1" applyFill="1" applyBorder="1" applyAlignment="1">
      <alignment horizontal="center" vertical="center"/>
    </xf>
    <xf numFmtId="0" fontId="3" fillId="2" borderId="123" xfId="0" applyFont="1" applyFill="1" applyBorder="1" applyAlignment="1">
      <alignment horizontal="center" vertical="center"/>
    </xf>
    <xf numFmtId="0" fontId="3" fillId="2" borderId="124" xfId="0" applyFont="1" applyFill="1" applyBorder="1" applyAlignment="1">
      <alignment horizontal="center" vertical="center"/>
    </xf>
    <xf numFmtId="0" fontId="3" fillId="2" borderId="125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/>
    </xf>
    <xf numFmtId="0" fontId="4" fillId="0" borderId="127" xfId="0" applyFont="1" applyBorder="1" applyAlignment="1">
      <alignment horizontal="center" vertical="center"/>
    </xf>
    <xf numFmtId="0" fontId="0" fillId="0" borderId="126" xfId="0" applyBorder="1" applyAlignment="1">
      <alignment vertical="center" wrapText="1"/>
    </xf>
    <xf numFmtId="0" fontId="13" fillId="0" borderId="126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0" fillId="0" borderId="126" xfId="0" applyFont="1" applyBorder="1" applyAlignment="1">
      <alignment vertical="center" wrapText="1"/>
    </xf>
    <xf numFmtId="0" fontId="0" fillId="0" borderId="128" xfId="0" applyFont="1" applyBorder="1" applyAlignment="1">
      <alignment vertical="center"/>
    </xf>
    <xf numFmtId="0" fontId="0" fillId="0" borderId="129" xfId="0" applyFont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118" xfId="0" applyFont="1" applyFill="1" applyBorder="1" applyAlignment="1">
      <alignment horizontal="center" vertical="center"/>
    </xf>
    <xf numFmtId="3" fontId="4" fillId="0" borderId="130" xfId="15" applyNumberFormat="1" applyFont="1" applyBorder="1" applyAlignment="1">
      <alignment vertical="center"/>
    </xf>
    <xf numFmtId="3" fontId="3" fillId="0" borderId="38" xfId="15" applyNumberFormat="1" applyFont="1" applyBorder="1" applyAlignment="1">
      <alignment vertical="center"/>
    </xf>
    <xf numFmtId="3" fontId="0" fillId="0" borderId="38" xfId="15" applyNumberFormat="1" applyBorder="1" applyAlignment="1">
      <alignment vertical="center" wrapText="1"/>
    </xf>
    <xf numFmtId="3" fontId="13" fillId="0" borderId="38" xfId="15" applyNumberFormat="1" applyFont="1" applyBorder="1" applyAlignment="1">
      <alignment vertical="center"/>
    </xf>
    <xf numFmtId="3" fontId="13" fillId="0" borderId="131" xfId="15" applyNumberFormat="1" applyFont="1" applyBorder="1" applyAlignment="1">
      <alignment vertical="center"/>
    </xf>
    <xf numFmtId="3" fontId="0" fillId="0" borderId="131" xfId="15" applyNumberFormat="1" applyFont="1" applyBorder="1" applyAlignment="1">
      <alignment vertical="center"/>
    </xf>
    <xf numFmtId="3" fontId="3" fillId="0" borderId="131" xfId="15" applyNumberFormat="1" applyFont="1" applyBorder="1" applyAlignment="1">
      <alignment vertical="center"/>
    </xf>
    <xf numFmtId="3" fontId="18" fillId="0" borderId="131" xfId="15" applyNumberFormat="1" applyFont="1" applyBorder="1" applyAlignment="1">
      <alignment vertical="center"/>
    </xf>
    <xf numFmtId="3" fontId="0" fillId="0" borderId="131" xfId="15" applyNumberFormat="1" applyFont="1" applyBorder="1" applyAlignment="1">
      <alignment vertical="center" wrapText="1"/>
    </xf>
    <xf numFmtId="3" fontId="0" fillId="0" borderId="132" xfId="15" applyNumberFormat="1" applyFont="1" applyBorder="1" applyAlignment="1">
      <alignment vertical="center"/>
    </xf>
    <xf numFmtId="3" fontId="4" fillId="0" borderId="131" xfId="15" applyNumberFormat="1" applyFont="1" applyBorder="1" applyAlignment="1">
      <alignment vertical="center"/>
    </xf>
    <xf numFmtId="3" fontId="4" fillId="0" borderId="131" xfId="15" applyNumberFormat="1" applyFont="1" applyBorder="1" applyAlignment="1">
      <alignment vertical="center" wrapText="1"/>
    </xf>
    <xf numFmtId="3" fontId="3" fillId="0" borderId="131" xfId="15" applyNumberFormat="1" applyFont="1" applyBorder="1" applyAlignment="1">
      <alignment vertical="center" wrapText="1"/>
    </xf>
    <xf numFmtId="3" fontId="18" fillId="0" borderId="133" xfId="15" applyNumberFormat="1" applyFont="1" applyBorder="1" applyAlignment="1">
      <alignment vertical="center"/>
    </xf>
    <xf numFmtId="0" fontId="3" fillId="0" borderId="51" xfId="0" applyFont="1" applyBorder="1" applyAlignment="1">
      <alignment/>
    </xf>
    <xf numFmtId="0" fontId="0" fillId="0" borderId="52" xfId="0" applyFont="1" applyBorder="1" applyAlignment="1">
      <alignment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134" xfId="0" applyFont="1" applyFill="1" applyBorder="1" applyAlignment="1">
      <alignment horizontal="center" vertical="center"/>
    </xf>
    <xf numFmtId="3" fontId="4" fillId="0" borderId="135" xfId="15" applyNumberFormat="1" applyFont="1" applyBorder="1" applyAlignment="1">
      <alignment vertical="center"/>
    </xf>
    <xf numFmtId="3" fontId="3" fillId="0" borderId="136" xfId="15" applyNumberFormat="1" applyFont="1" applyBorder="1" applyAlignment="1">
      <alignment vertical="center"/>
    </xf>
    <xf numFmtId="3" fontId="0" fillId="0" borderId="136" xfId="15" applyNumberFormat="1" applyBorder="1" applyAlignment="1">
      <alignment vertical="center" wrapText="1"/>
    </xf>
    <xf numFmtId="3" fontId="13" fillId="0" borderId="136" xfId="15" applyNumberFormat="1" applyFont="1" applyBorder="1" applyAlignment="1">
      <alignment vertical="center"/>
    </xf>
    <xf numFmtId="3" fontId="0" fillId="0" borderId="136" xfId="15" applyNumberFormat="1" applyFont="1" applyBorder="1" applyAlignment="1">
      <alignment vertical="center"/>
    </xf>
    <xf numFmtId="3" fontId="18" fillId="0" borderId="136" xfId="15" applyNumberFormat="1" applyFont="1" applyBorder="1" applyAlignment="1">
      <alignment vertical="center"/>
    </xf>
    <xf numFmtId="3" fontId="0" fillId="0" borderId="136" xfId="15" applyNumberFormat="1" applyFont="1" applyBorder="1" applyAlignment="1">
      <alignment vertical="center" wrapText="1"/>
    </xf>
    <xf numFmtId="3" fontId="4" fillId="0" borderId="136" xfId="15" applyNumberFormat="1" applyFont="1" applyBorder="1" applyAlignment="1">
      <alignment vertical="center"/>
    </xf>
    <xf numFmtId="3" fontId="4" fillId="0" borderId="136" xfId="15" applyNumberFormat="1" applyFont="1" applyBorder="1" applyAlignment="1">
      <alignment vertical="center" wrapText="1"/>
    </xf>
    <xf numFmtId="3" fontId="3" fillId="0" borderId="136" xfId="15" applyNumberFormat="1" applyFont="1" applyBorder="1" applyAlignment="1">
      <alignment vertical="center" wrapText="1"/>
    </xf>
    <xf numFmtId="3" fontId="18" fillId="0" borderId="137" xfId="15" applyNumberFormat="1" applyFont="1" applyBorder="1" applyAlignment="1">
      <alignment vertical="center"/>
    </xf>
    <xf numFmtId="3" fontId="3" fillId="0" borderId="138" xfId="0" applyNumberFormat="1" applyFont="1" applyBorder="1" applyAlignment="1">
      <alignment horizontal="center" vertical="center"/>
    </xf>
    <xf numFmtId="3" fontId="3" fillId="0" borderId="1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3" fontId="0" fillId="0" borderId="129" xfId="0" applyNumberFormat="1" applyBorder="1" applyAlignment="1">
      <alignment horizontal="center"/>
    </xf>
    <xf numFmtId="3" fontId="0" fillId="0" borderId="140" xfId="0" applyNumberFormat="1" applyBorder="1" applyAlignment="1">
      <alignment horizontal="center"/>
    </xf>
    <xf numFmtId="0" fontId="4" fillId="0" borderId="141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6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6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18" fillId="0" borderId="38" xfId="0" applyFont="1" applyBorder="1" applyAlignment="1">
      <alignment wrapText="1"/>
    </xf>
    <xf numFmtId="0" fontId="4" fillId="0" borderId="67" xfId="0" applyFont="1" applyBorder="1" applyAlignment="1">
      <alignment horizontal="center" vertical="center" wrapText="1"/>
    </xf>
    <xf numFmtId="49" fontId="34" fillId="0" borderId="142" xfId="0" applyFont="1" applyFill="1" applyBorder="1" applyAlignment="1">
      <alignment horizontal="center" vertical="center" wrapText="1"/>
    </xf>
    <xf numFmtId="49" fontId="34" fillId="0" borderId="14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4" xfId="0" applyFont="1" applyFill="1" applyBorder="1" applyAlignment="1">
      <alignment horizontal="center" vertical="center" wrapText="1"/>
    </xf>
    <xf numFmtId="0" fontId="8" fillId="0" borderId="145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49" fontId="34" fillId="0" borderId="146" xfId="0" applyFont="1" applyFill="1" applyBorder="1" applyAlignment="1">
      <alignment horizontal="center" vertical="center" wrapText="1"/>
    </xf>
    <xf numFmtId="49" fontId="34" fillId="0" borderId="14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horizontal="center" vertical="center" wrapText="1"/>
    </xf>
    <xf numFmtId="3" fontId="4" fillId="0" borderId="97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vertical="center" wrapText="1"/>
    </xf>
    <xf numFmtId="3" fontId="20" fillId="0" borderId="24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vertical="center" wrapText="1"/>
    </xf>
    <xf numFmtId="3" fontId="20" fillId="0" borderId="149" xfId="0" applyNumberFormat="1" applyFont="1" applyBorder="1" applyAlignment="1">
      <alignment vertical="center" wrapText="1"/>
    </xf>
    <xf numFmtId="3" fontId="20" fillId="0" borderId="81" xfId="0" applyNumberFormat="1" applyFont="1" applyBorder="1" applyAlignment="1">
      <alignment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9" fillId="0" borderId="49" xfId="1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55" xfId="18" applyFont="1" applyBorder="1" applyAlignment="1">
      <alignment horizontal="center" wrapText="1"/>
      <protection/>
    </xf>
    <xf numFmtId="0" fontId="12" fillId="0" borderId="93" xfId="18" applyFont="1" applyBorder="1" applyAlignment="1">
      <alignment horizontal="center" wrapText="1"/>
      <protection/>
    </xf>
    <xf numFmtId="0" fontId="12" fillId="0" borderId="56" xfId="18" applyFont="1" applyBorder="1" applyAlignment="1">
      <alignment horizontal="center" wrapText="1"/>
      <protection/>
    </xf>
    <xf numFmtId="0" fontId="9" fillId="0" borderId="3" xfId="18" applyFont="1" applyBorder="1" applyAlignment="1">
      <alignment horizontal="center" vertical="center"/>
      <protection/>
    </xf>
    <xf numFmtId="0" fontId="14" fillId="0" borderId="0" xfId="18" applyFont="1" applyAlignment="1">
      <alignment horizont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0" borderId="55" xfId="18" applyFont="1" applyBorder="1" applyAlignment="1">
      <alignment horizontal="center"/>
      <protection/>
    </xf>
    <xf numFmtId="0" fontId="8" fillId="0" borderId="56" xfId="18" applyFont="1" applyBorder="1" applyAlignment="1">
      <alignment horizontal="center"/>
      <protection/>
    </xf>
    <xf numFmtId="0" fontId="8" fillId="2" borderId="1" xfId="18" applyFont="1" applyFill="1" applyBorder="1" applyAlignment="1">
      <alignment horizontal="center"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  <xf numFmtId="0" fontId="17" fillId="0" borderId="0" xfId="18" applyFont="1" applyAlignment="1">
      <alignment horizontal="left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12" xfId="18" applyFont="1" applyBorder="1" applyAlignment="1">
      <alignment horizontal="center" vertical="center"/>
      <protection/>
    </xf>
    <xf numFmtId="0" fontId="4" fillId="0" borderId="9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" fontId="18" fillId="0" borderId="150" xfId="15" applyNumberFormat="1" applyFont="1" applyBorder="1" applyAlignment="1">
      <alignment horizontal="center" vertical="center" wrapText="1"/>
    </xf>
    <xf numFmtId="3" fontId="18" fillId="0" borderId="70" xfId="15" applyNumberFormat="1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8" fillId="0" borderId="123" xfId="15" applyNumberFormat="1" applyFont="1" applyBorder="1" applyAlignment="1">
      <alignment horizontal="center" vertical="center"/>
    </xf>
    <xf numFmtId="3" fontId="18" fillId="0" borderId="12" xfId="15" applyNumberFormat="1" applyFont="1" applyBorder="1" applyAlignment="1">
      <alignment horizontal="center" vertical="center"/>
    </xf>
    <xf numFmtId="3" fontId="18" fillId="0" borderId="125" xfId="15" applyNumberFormat="1" applyFont="1" applyBorder="1" applyAlignment="1">
      <alignment horizontal="center" vertical="center"/>
    </xf>
    <xf numFmtId="3" fontId="18" fillId="0" borderId="13" xfId="15" applyNumberFormat="1" applyFont="1" applyBorder="1" applyAlignment="1">
      <alignment horizontal="center" vertical="center"/>
    </xf>
    <xf numFmtId="3" fontId="18" fillId="0" borderId="150" xfId="15" applyNumberFormat="1" applyFont="1" applyBorder="1" applyAlignment="1">
      <alignment horizontal="center" vertical="center"/>
    </xf>
    <xf numFmtId="3" fontId="18" fillId="0" borderId="70" xfId="15" applyNumberFormat="1" applyFont="1" applyBorder="1" applyAlignment="1">
      <alignment horizontal="center" vertical="center"/>
    </xf>
    <xf numFmtId="3" fontId="18" fillId="0" borderId="148" xfId="15" applyNumberFormat="1" applyFont="1" applyBorder="1" applyAlignment="1">
      <alignment horizontal="center" vertical="center"/>
    </xf>
    <xf numFmtId="3" fontId="18" fillId="0" borderId="73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9" fillId="0" borderId="148" xfId="0" applyFont="1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 wrapText="1"/>
    </xf>
    <xf numFmtId="0" fontId="29" fillId="0" borderId="149" xfId="0" applyFont="1" applyBorder="1" applyAlignment="1">
      <alignment horizontal="center"/>
    </xf>
    <xf numFmtId="0" fontId="29" fillId="0" borderId="81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02" xfId="0" applyFont="1" applyBorder="1" applyAlignment="1">
      <alignment vertical="center"/>
    </xf>
    <xf numFmtId="0" fontId="28" fillId="0" borderId="110" xfId="0" applyFont="1" applyBorder="1" applyAlignment="1">
      <alignment vertical="center"/>
    </xf>
    <xf numFmtId="0" fontId="28" fillId="0" borderId="13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93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8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13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top"/>
    </xf>
    <xf numFmtId="0" fontId="28" fillId="0" borderId="94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/>
    </xf>
    <xf numFmtId="0" fontId="19" fillId="2" borderId="93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view="pageBreakPreview" zoomScaleSheetLayoutView="100" workbookViewId="0" topLeftCell="A1">
      <selection activeCell="I1" sqref="I1:K16384"/>
    </sheetView>
  </sheetViews>
  <sheetFormatPr defaultColWidth="9.00390625" defaultRowHeight="12.75"/>
  <cols>
    <col min="1" max="1" width="30.625" style="0" customWidth="1"/>
    <col min="2" max="2" width="8.75390625" style="0" customWidth="1"/>
    <col min="3" max="3" width="7.125" style="0" customWidth="1"/>
    <col min="4" max="4" width="50.75390625" style="0" customWidth="1"/>
    <col min="5" max="5" width="15.75390625" style="0" customWidth="1"/>
    <col min="6" max="6" width="17.625" style="0" customWidth="1"/>
    <col min="7" max="7" width="21.00390625" style="0" customWidth="1"/>
  </cols>
  <sheetData>
    <row r="1" ht="12.75">
      <c r="E1" t="s">
        <v>0</v>
      </c>
    </row>
    <row r="2" ht="12.75">
      <c r="E2" t="s">
        <v>654</v>
      </c>
    </row>
    <row r="3" ht="12.75">
      <c r="E3" t="s">
        <v>130</v>
      </c>
    </row>
    <row r="4" ht="12.75">
      <c r="E4" t="s">
        <v>655</v>
      </c>
    </row>
    <row r="6" spans="2:7" ht="18">
      <c r="B6" s="727" t="s">
        <v>464</v>
      </c>
      <c r="C6" s="727"/>
      <c r="D6" s="727"/>
      <c r="E6" s="727"/>
      <c r="F6" s="727"/>
      <c r="G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ht="13.5" hidden="1" thickBot="1">
      <c r="G9" s="13"/>
    </row>
    <row r="10" spans="1:7" s="35" customFormat="1" ht="15" customHeight="1">
      <c r="A10" s="728" t="s">
        <v>4</v>
      </c>
      <c r="B10" s="730" t="s">
        <v>5</v>
      </c>
      <c r="C10" s="730" t="s">
        <v>6</v>
      </c>
      <c r="D10" s="732" t="s">
        <v>86</v>
      </c>
      <c r="E10" s="747"/>
      <c r="F10" s="766" t="s">
        <v>465</v>
      </c>
      <c r="G10" s="128"/>
    </row>
    <row r="11" spans="1:7" s="35" customFormat="1" ht="18.75" customHeight="1" thickBot="1">
      <c r="A11" s="729"/>
      <c r="B11" s="731"/>
      <c r="C11" s="731"/>
      <c r="D11" s="725"/>
      <c r="E11" s="748"/>
      <c r="F11" s="724"/>
      <c r="G11" s="129"/>
    </row>
    <row r="12" spans="1:8" s="38" customFormat="1" ht="29.25" customHeight="1">
      <c r="A12" s="212"/>
      <c r="B12" s="213"/>
      <c r="C12" s="214"/>
      <c r="D12" s="740" t="s">
        <v>378</v>
      </c>
      <c r="E12" s="749"/>
      <c r="F12" s="767">
        <f>SUM(F13,F20,F23,F45:F46,F47,F50,F56,F61)</f>
        <v>47371363</v>
      </c>
      <c r="G12" s="707"/>
      <c r="H12" s="708"/>
    </row>
    <row r="13" spans="1:8" ht="24.75" customHeight="1">
      <c r="A13" s="788" t="s">
        <v>120</v>
      </c>
      <c r="B13" s="789"/>
      <c r="C13" s="789"/>
      <c r="D13" s="789"/>
      <c r="E13" s="750"/>
      <c r="F13" s="768">
        <f>+F14+F15+F19</f>
        <v>1955000</v>
      </c>
      <c r="G13" s="707"/>
      <c r="H13" s="708"/>
    </row>
    <row r="14" spans="1:8" ht="27" customHeight="1">
      <c r="A14" s="55" t="s">
        <v>23</v>
      </c>
      <c r="B14" s="53">
        <v>70005</v>
      </c>
      <c r="C14" s="130" t="s">
        <v>121</v>
      </c>
      <c r="D14" s="741" t="s">
        <v>122</v>
      </c>
      <c r="E14" s="751"/>
      <c r="F14" s="769">
        <v>320000</v>
      </c>
      <c r="G14" s="707"/>
      <c r="H14" s="708"/>
    </row>
    <row r="15" spans="1:8" ht="25.5">
      <c r="A15" s="56"/>
      <c r="B15" s="54"/>
      <c r="C15" s="130" t="s">
        <v>124</v>
      </c>
      <c r="D15" s="741" t="s">
        <v>1</v>
      </c>
      <c r="E15" s="751"/>
      <c r="F15" s="769">
        <f>SUM(F16:F18)</f>
        <v>1620000</v>
      </c>
      <c r="G15" s="707"/>
      <c r="H15" s="708"/>
    </row>
    <row r="16" spans="1:8" ht="15">
      <c r="A16" s="56"/>
      <c r="B16" s="54"/>
      <c r="C16" s="130"/>
      <c r="D16" s="742" t="s">
        <v>125</v>
      </c>
      <c r="E16" s="752"/>
      <c r="F16" s="770">
        <v>1300000</v>
      </c>
      <c r="G16" s="707"/>
      <c r="H16" s="708"/>
    </row>
    <row r="17" spans="1:8" ht="15">
      <c r="A17" s="56"/>
      <c r="B17" s="54"/>
      <c r="C17" s="130"/>
      <c r="D17" s="742" t="s">
        <v>126</v>
      </c>
      <c r="E17" s="752"/>
      <c r="F17" s="770">
        <v>120000</v>
      </c>
      <c r="G17" s="707"/>
      <c r="H17" s="708"/>
    </row>
    <row r="18" spans="1:8" ht="15">
      <c r="A18" s="56"/>
      <c r="B18" s="54"/>
      <c r="C18" s="130"/>
      <c r="D18" s="742" t="s">
        <v>127</v>
      </c>
      <c r="E18" s="753"/>
      <c r="F18" s="770">
        <v>200000</v>
      </c>
      <c r="G18" s="707"/>
      <c r="H18" s="708"/>
    </row>
    <row r="19" spans="1:8" ht="15">
      <c r="A19" s="56"/>
      <c r="B19" s="54"/>
      <c r="C19" s="130" t="s">
        <v>135</v>
      </c>
      <c r="D19" s="743" t="s">
        <v>131</v>
      </c>
      <c r="E19" s="754"/>
      <c r="F19" s="771">
        <v>15000</v>
      </c>
      <c r="G19" s="707"/>
      <c r="H19" s="708"/>
    </row>
    <row r="20" spans="1:8" ht="15.75">
      <c r="A20" s="790" t="s">
        <v>167</v>
      </c>
      <c r="B20" s="791"/>
      <c r="C20" s="791"/>
      <c r="D20" s="791"/>
      <c r="E20" s="755"/>
      <c r="F20" s="768">
        <f>SUM(F21:F22)</f>
        <v>110000</v>
      </c>
      <c r="G20" s="707"/>
      <c r="H20" s="708"/>
    </row>
    <row r="21" spans="1:8" ht="15">
      <c r="A21" s="55"/>
      <c r="B21" s="53">
        <v>75023</v>
      </c>
      <c r="C21" s="130" t="s">
        <v>119</v>
      </c>
      <c r="D21" s="743" t="s">
        <v>132</v>
      </c>
      <c r="E21" s="754"/>
      <c r="F21" s="771">
        <v>60000</v>
      </c>
      <c r="G21" s="707"/>
      <c r="H21" s="708"/>
    </row>
    <row r="22" spans="1:8" ht="19.5" customHeight="1">
      <c r="A22" s="56"/>
      <c r="B22" s="54"/>
      <c r="C22" s="130" t="s">
        <v>133</v>
      </c>
      <c r="D22" s="743" t="s">
        <v>134</v>
      </c>
      <c r="E22" s="754"/>
      <c r="F22" s="771">
        <v>50000</v>
      </c>
      <c r="G22" s="707"/>
      <c r="H22" s="708"/>
    </row>
    <row r="23" spans="1:8" ht="30" customHeight="1">
      <c r="A23" s="792" t="s">
        <v>634</v>
      </c>
      <c r="B23" s="793"/>
      <c r="C23" s="793"/>
      <c r="D23" s="793"/>
      <c r="E23" s="756"/>
      <c r="F23" s="772">
        <f>SUM(F24:F44)</f>
        <v>28863569</v>
      </c>
      <c r="G23" s="707"/>
      <c r="H23" s="708"/>
    </row>
    <row r="24" spans="1:8" ht="30" customHeight="1">
      <c r="A24" s="57"/>
      <c r="B24" s="53">
        <v>75601</v>
      </c>
      <c r="C24" s="130" t="s">
        <v>136</v>
      </c>
      <c r="D24" s="744" t="s">
        <v>192</v>
      </c>
      <c r="E24" s="757"/>
      <c r="F24" s="773">
        <v>60000</v>
      </c>
      <c r="G24" s="707"/>
      <c r="H24" s="708"/>
    </row>
    <row r="25" spans="1:8" ht="18" customHeight="1">
      <c r="A25" s="57"/>
      <c r="B25" s="53"/>
      <c r="C25" s="130" t="s">
        <v>137</v>
      </c>
      <c r="D25" s="744" t="s">
        <v>138</v>
      </c>
      <c r="E25" s="754"/>
      <c r="F25" s="771">
        <v>2000</v>
      </c>
      <c r="G25" s="707"/>
      <c r="H25" s="708"/>
    </row>
    <row r="26" spans="1:8" ht="18" customHeight="1">
      <c r="A26" s="57"/>
      <c r="B26" s="53">
        <v>75615</v>
      </c>
      <c r="C26" s="130" t="s">
        <v>139</v>
      </c>
      <c r="D26" s="743" t="s">
        <v>140</v>
      </c>
      <c r="E26" s="754"/>
      <c r="F26" s="771">
        <v>12000000</v>
      </c>
      <c r="G26" s="707"/>
      <c r="H26" s="708"/>
    </row>
    <row r="27" spans="1:8" ht="18" customHeight="1">
      <c r="A27" s="57"/>
      <c r="B27" s="53"/>
      <c r="C27" s="130" t="s">
        <v>141</v>
      </c>
      <c r="D27" s="743" t="s">
        <v>142</v>
      </c>
      <c r="E27" s="754"/>
      <c r="F27" s="771">
        <v>70400</v>
      </c>
      <c r="G27" s="707"/>
      <c r="H27" s="708"/>
    </row>
    <row r="28" spans="1:8" ht="18" customHeight="1">
      <c r="A28" s="57"/>
      <c r="B28" s="54"/>
      <c r="C28" s="130" t="s">
        <v>143</v>
      </c>
      <c r="D28" s="743" t="s">
        <v>632</v>
      </c>
      <c r="E28" s="754"/>
      <c r="F28" s="771">
        <v>94300</v>
      </c>
      <c r="G28" s="707"/>
      <c r="H28" s="708"/>
    </row>
    <row r="29" spans="1:8" ht="18" customHeight="1">
      <c r="A29" s="57"/>
      <c r="B29" s="54"/>
      <c r="C29" s="130" t="s">
        <v>144</v>
      </c>
      <c r="D29" s="743" t="s">
        <v>145</v>
      </c>
      <c r="E29" s="754"/>
      <c r="F29" s="771">
        <v>99000</v>
      </c>
      <c r="G29" s="707"/>
      <c r="H29" s="708"/>
    </row>
    <row r="30" spans="1:8" ht="18" customHeight="1">
      <c r="A30" s="57"/>
      <c r="B30" s="54"/>
      <c r="C30" s="130" t="s">
        <v>146</v>
      </c>
      <c r="D30" s="743" t="s">
        <v>147</v>
      </c>
      <c r="E30" s="754"/>
      <c r="F30" s="771">
        <v>160000</v>
      </c>
      <c r="G30" s="707"/>
      <c r="H30" s="708"/>
    </row>
    <row r="31" spans="1:8" ht="18" customHeight="1">
      <c r="A31" s="57"/>
      <c r="B31" s="54"/>
      <c r="C31" s="130" t="s">
        <v>137</v>
      </c>
      <c r="D31" s="744" t="s">
        <v>138</v>
      </c>
      <c r="E31" s="754"/>
      <c r="F31" s="771">
        <v>50000</v>
      </c>
      <c r="G31" s="707"/>
      <c r="H31" s="708"/>
    </row>
    <row r="32" spans="1:8" ht="18" customHeight="1">
      <c r="A32" s="57"/>
      <c r="B32" s="53">
        <v>75616</v>
      </c>
      <c r="C32" s="130" t="s">
        <v>139</v>
      </c>
      <c r="D32" s="743" t="s">
        <v>140</v>
      </c>
      <c r="E32" s="754"/>
      <c r="F32" s="771">
        <v>2850000</v>
      </c>
      <c r="G32" s="707"/>
      <c r="H32" s="708"/>
    </row>
    <row r="33" spans="1:8" ht="18" customHeight="1">
      <c r="A33" s="57"/>
      <c r="B33" s="54"/>
      <c r="C33" s="130" t="s">
        <v>141</v>
      </c>
      <c r="D33" s="743" t="s">
        <v>142</v>
      </c>
      <c r="E33" s="754"/>
      <c r="F33" s="771">
        <f>598000-70000</f>
        <v>528000</v>
      </c>
      <c r="G33" s="707"/>
      <c r="H33" s="708"/>
    </row>
    <row r="34" spans="1:8" ht="18" customHeight="1">
      <c r="A34" s="56"/>
      <c r="B34" s="54"/>
      <c r="C34" s="130" t="s">
        <v>143</v>
      </c>
      <c r="D34" s="743" t="s">
        <v>632</v>
      </c>
      <c r="E34" s="754"/>
      <c r="F34" s="771">
        <v>1800</v>
      </c>
      <c r="G34" s="707"/>
      <c r="H34" s="708"/>
    </row>
    <row r="35" spans="1:8" ht="18" customHeight="1">
      <c r="A35" s="132"/>
      <c r="B35" s="133"/>
      <c r="C35" s="131" t="s">
        <v>144</v>
      </c>
      <c r="D35" s="745" t="s">
        <v>145</v>
      </c>
      <c r="E35" s="758"/>
      <c r="F35" s="771">
        <v>210000</v>
      </c>
      <c r="G35" s="707"/>
      <c r="H35" s="708"/>
    </row>
    <row r="36" spans="1:8" ht="18" customHeight="1">
      <c r="A36" s="56"/>
      <c r="B36" s="54"/>
      <c r="C36" s="130" t="s">
        <v>148</v>
      </c>
      <c r="D36" s="743" t="s">
        <v>149</v>
      </c>
      <c r="E36" s="754"/>
      <c r="F36" s="771">
        <v>130000</v>
      </c>
      <c r="G36" s="707"/>
      <c r="H36" s="708"/>
    </row>
    <row r="37" spans="1:8" ht="18" customHeight="1">
      <c r="A37" s="56"/>
      <c r="B37" s="54"/>
      <c r="C37" s="130" t="s">
        <v>150</v>
      </c>
      <c r="D37" s="743" t="s">
        <v>151</v>
      </c>
      <c r="E37" s="754"/>
      <c r="F37" s="771">
        <v>200000</v>
      </c>
      <c r="G37" s="707"/>
      <c r="H37" s="708"/>
    </row>
    <row r="38" spans="1:8" ht="18" customHeight="1">
      <c r="A38" s="56"/>
      <c r="B38" s="54"/>
      <c r="C38" s="130" t="s">
        <v>146</v>
      </c>
      <c r="D38" s="743" t="s">
        <v>152</v>
      </c>
      <c r="E38" s="754"/>
      <c r="F38" s="771">
        <v>500000</v>
      </c>
      <c r="G38" s="707"/>
      <c r="H38" s="708"/>
    </row>
    <row r="39" spans="1:8" ht="18" customHeight="1">
      <c r="A39" s="56"/>
      <c r="B39" s="54"/>
      <c r="C39" s="130" t="s">
        <v>137</v>
      </c>
      <c r="D39" s="744" t="s">
        <v>138</v>
      </c>
      <c r="E39" s="754"/>
      <c r="F39" s="771">
        <v>42000</v>
      </c>
      <c r="G39" s="707"/>
      <c r="H39" s="708"/>
    </row>
    <row r="40" spans="1:8" ht="19.5" customHeight="1">
      <c r="A40" s="56"/>
      <c r="B40" s="53">
        <v>75618</v>
      </c>
      <c r="C40" s="130" t="s">
        <v>153</v>
      </c>
      <c r="D40" s="743" t="s">
        <v>154</v>
      </c>
      <c r="E40" s="754"/>
      <c r="F40" s="771">
        <v>85000</v>
      </c>
      <c r="G40" s="707"/>
      <c r="H40" s="708"/>
    </row>
    <row r="41" spans="1:8" ht="19.5" customHeight="1">
      <c r="A41" s="56"/>
      <c r="B41" s="53"/>
      <c r="C41" s="130" t="s">
        <v>155</v>
      </c>
      <c r="D41" s="743" t="s">
        <v>172</v>
      </c>
      <c r="E41" s="754"/>
      <c r="F41" s="771">
        <v>290000</v>
      </c>
      <c r="G41" s="707"/>
      <c r="H41" s="708"/>
    </row>
    <row r="42" spans="1:8" ht="28.5" customHeight="1">
      <c r="A42" s="56"/>
      <c r="B42" s="53"/>
      <c r="C42" s="130" t="s">
        <v>123</v>
      </c>
      <c r="D42" s="744" t="s">
        <v>379</v>
      </c>
      <c r="E42" s="754"/>
      <c r="F42" s="771">
        <v>25000</v>
      </c>
      <c r="G42" s="707"/>
      <c r="H42" s="708"/>
    </row>
    <row r="43" spans="1:8" ht="18" customHeight="1">
      <c r="A43" s="56"/>
      <c r="B43" s="53">
        <v>75621</v>
      </c>
      <c r="C43" s="130" t="s">
        <v>156</v>
      </c>
      <c r="D43" s="743" t="s">
        <v>157</v>
      </c>
      <c r="E43" s="754"/>
      <c r="F43" s="771">
        <v>11266069</v>
      </c>
      <c r="G43" s="707"/>
      <c r="H43" s="708"/>
    </row>
    <row r="44" spans="1:8" ht="18" customHeight="1">
      <c r="A44" s="56"/>
      <c r="B44" s="53"/>
      <c r="C44" s="231">
        <v>20</v>
      </c>
      <c r="D44" s="743" t="s">
        <v>158</v>
      </c>
      <c r="E44" s="754"/>
      <c r="F44" s="771">
        <v>200000</v>
      </c>
      <c r="G44" s="707"/>
      <c r="H44" s="708"/>
    </row>
    <row r="45" spans="1:8" ht="18" customHeight="1">
      <c r="A45" s="58" t="s">
        <v>159</v>
      </c>
      <c r="B45" s="53">
        <v>75814</v>
      </c>
      <c r="C45" s="130" t="s">
        <v>135</v>
      </c>
      <c r="D45" s="743" t="s">
        <v>161</v>
      </c>
      <c r="E45" s="755"/>
      <c r="F45" s="768">
        <v>80000</v>
      </c>
      <c r="G45" s="707"/>
      <c r="H45" s="708"/>
    </row>
    <row r="46" spans="1:8" ht="15">
      <c r="A46" s="139" t="s">
        <v>163</v>
      </c>
      <c r="B46" s="53">
        <v>85228</v>
      </c>
      <c r="C46" s="130" t="s">
        <v>164</v>
      </c>
      <c r="D46" s="743" t="s">
        <v>165</v>
      </c>
      <c r="E46" s="755"/>
      <c r="F46" s="768">
        <v>31000</v>
      </c>
      <c r="G46" s="707"/>
      <c r="H46" s="708"/>
    </row>
    <row r="47" spans="1:8" ht="15.75">
      <c r="A47" s="735" t="s">
        <v>160</v>
      </c>
      <c r="B47" s="736"/>
      <c r="C47" s="736"/>
      <c r="D47" s="736"/>
      <c r="E47" s="759"/>
      <c r="F47" s="774">
        <f>+F48+F49</f>
        <v>11174385</v>
      </c>
      <c r="G47" s="707"/>
      <c r="H47" s="708"/>
    </row>
    <row r="48" spans="1:8" ht="18" customHeight="1">
      <c r="A48" s="733" t="s">
        <v>159</v>
      </c>
      <c r="B48" s="53">
        <v>75801</v>
      </c>
      <c r="C48" s="130">
        <v>2920</v>
      </c>
      <c r="D48" s="744" t="s">
        <v>170</v>
      </c>
      <c r="E48" s="757"/>
      <c r="F48" s="773">
        <v>10957594</v>
      </c>
      <c r="G48" s="707"/>
      <c r="H48" s="708"/>
    </row>
    <row r="49" spans="1:8" ht="18" customHeight="1">
      <c r="A49" s="726"/>
      <c r="B49" s="53">
        <v>75831</v>
      </c>
      <c r="C49" s="130">
        <v>2920</v>
      </c>
      <c r="D49" s="744" t="s">
        <v>162</v>
      </c>
      <c r="E49" s="757"/>
      <c r="F49" s="773">
        <v>216791</v>
      </c>
      <c r="G49" s="707"/>
      <c r="H49" s="708"/>
    </row>
    <row r="50" spans="1:8" ht="15.75">
      <c r="A50" s="794" t="s">
        <v>166</v>
      </c>
      <c r="B50" s="734"/>
      <c r="C50" s="734"/>
      <c r="D50" s="734"/>
      <c r="E50" s="760"/>
      <c r="F50" s="775">
        <f>SUM(F51:F55)</f>
        <v>4305909</v>
      </c>
      <c r="G50" s="707"/>
      <c r="H50" s="708"/>
    </row>
    <row r="51" spans="1:8" ht="39" customHeight="1">
      <c r="A51" s="321" t="s">
        <v>167</v>
      </c>
      <c r="B51" s="322">
        <v>75011</v>
      </c>
      <c r="C51" s="323">
        <v>2010</v>
      </c>
      <c r="D51" s="746" t="s">
        <v>173</v>
      </c>
      <c r="E51" s="757"/>
      <c r="F51" s="773">
        <v>125214</v>
      </c>
      <c r="G51" s="707"/>
      <c r="H51" s="708"/>
    </row>
    <row r="52" spans="1:8" ht="38.25" customHeight="1">
      <c r="A52" s="522" t="s">
        <v>168</v>
      </c>
      <c r="B52" s="53">
        <v>75101</v>
      </c>
      <c r="C52" s="130">
        <v>2010</v>
      </c>
      <c r="D52" s="744" t="s">
        <v>633</v>
      </c>
      <c r="E52" s="757"/>
      <c r="F52" s="773">
        <v>3695</v>
      </c>
      <c r="G52" s="707"/>
      <c r="H52" s="708"/>
    </row>
    <row r="53" spans="1:8" ht="36" customHeight="1">
      <c r="A53" s="141" t="s">
        <v>169</v>
      </c>
      <c r="B53" s="53">
        <v>75414</v>
      </c>
      <c r="C53" s="130">
        <v>2010</v>
      </c>
      <c r="D53" s="744" t="s">
        <v>419</v>
      </c>
      <c r="E53" s="757"/>
      <c r="F53" s="773">
        <v>1000</v>
      </c>
      <c r="G53" s="707"/>
      <c r="H53" s="708"/>
    </row>
    <row r="54" spans="1:8" ht="47.25" customHeight="1">
      <c r="A54" s="139" t="s">
        <v>163</v>
      </c>
      <c r="B54" s="53">
        <v>85212</v>
      </c>
      <c r="C54" s="130">
        <v>2010</v>
      </c>
      <c r="D54" s="744" t="s">
        <v>177</v>
      </c>
      <c r="E54" s="757"/>
      <c r="F54" s="773">
        <v>4174000</v>
      </c>
      <c r="G54" s="707"/>
      <c r="H54" s="708"/>
    </row>
    <row r="55" spans="1:8" ht="36" customHeight="1">
      <c r="A55" s="140"/>
      <c r="B55" s="53">
        <v>85213</v>
      </c>
      <c r="C55" s="130">
        <v>2010</v>
      </c>
      <c r="D55" s="744" t="s">
        <v>174</v>
      </c>
      <c r="E55" s="757"/>
      <c r="F55" s="773">
        <v>2000</v>
      </c>
      <c r="G55" s="707"/>
      <c r="H55" s="708"/>
    </row>
    <row r="56" spans="1:8" ht="15.75">
      <c r="A56" s="794" t="s">
        <v>171</v>
      </c>
      <c r="B56" s="734"/>
      <c r="C56" s="734"/>
      <c r="D56" s="734"/>
      <c r="E56" s="760"/>
      <c r="F56" s="775">
        <f>SUM(F57:F60)</f>
        <v>850000</v>
      </c>
      <c r="G56" s="707"/>
      <c r="H56" s="708"/>
    </row>
    <row r="57" spans="1:8" ht="18" customHeight="1">
      <c r="A57" s="58" t="s">
        <v>163</v>
      </c>
      <c r="B57" s="53">
        <v>85213</v>
      </c>
      <c r="C57" s="130">
        <v>2030</v>
      </c>
      <c r="D57" s="744" t="s">
        <v>389</v>
      </c>
      <c r="E57" s="757"/>
      <c r="F57" s="773">
        <v>30200</v>
      </c>
      <c r="G57" s="707"/>
      <c r="H57" s="708"/>
    </row>
    <row r="58" spans="1:8" ht="25.5">
      <c r="A58" s="723"/>
      <c r="B58" s="53">
        <v>85214</v>
      </c>
      <c r="C58" s="130">
        <v>2030</v>
      </c>
      <c r="D58" s="744" t="s">
        <v>175</v>
      </c>
      <c r="E58" s="757"/>
      <c r="F58" s="773">
        <v>129000</v>
      </c>
      <c r="G58" s="707"/>
      <c r="H58" s="708"/>
    </row>
    <row r="59" spans="1:8" ht="25.5">
      <c r="A59" s="58"/>
      <c r="B59" s="53">
        <v>85216</v>
      </c>
      <c r="C59" s="130">
        <v>2030</v>
      </c>
      <c r="D59" s="744" t="s">
        <v>515</v>
      </c>
      <c r="E59" s="757"/>
      <c r="F59" s="773">
        <v>388000</v>
      </c>
      <c r="G59" s="707"/>
      <c r="H59" s="708"/>
    </row>
    <row r="60" spans="1:8" ht="25.5">
      <c r="A60" s="56"/>
      <c r="B60" s="53">
        <v>85219</v>
      </c>
      <c r="C60" s="130">
        <v>2030</v>
      </c>
      <c r="D60" s="744" t="s">
        <v>176</v>
      </c>
      <c r="E60" s="757"/>
      <c r="F60" s="773">
        <v>302800</v>
      </c>
      <c r="G60" s="707"/>
      <c r="H60" s="708"/>
    </row>
    <row r="61" spans="1:8" ht="15.75">
      <c r="A61" s="794" t="s">
        <v>384</v>
      </c>
      <c r="B61" s="734"/>
      <c r="C61" s="734"/>
      <c r="D61" s="734"/>
      <c r="E61" s="761"/>
      <c r="F61" s="776">
        <f>+F62</f>
        <v>1500</v>
      </c>
      <c r="G61" s="707"/>
      <c r="H61" s="708"/>
    </row>
    <row r="62" spans="1:8" ht="25.5">
      <c r="A62" s="139" t="s">
        <v>385</v>
      </c>
      <c r="B62" s="53">
        <v>71035</v>
      </c>
      <c r="C62" s="130">
        <v>2020</v>
      </c>
      <c r="D62" s="744" t="s">
        <v>386</v>
      </c>
      <c r="E62" s="757"/>
      <c r="F62" s="773">
        <v>1500</v>
      </c>
      <c r="G62" s="707"/>
      <c r="H62" s="708"/>
    </row>
    <row r="63" spans="1:8" ht="34.5" customHeight="1">
      <c r="A63" s="140"/>
      <c r="B63" s="737" t="s">
        <v>380</v>
      </c>
      <c r="C63" s="738"/>
      <c r="D63" s="738"/>
      <c r="E63" s="142"/>
      <c r="F63" s="774">
        <f>SUM(F64:F65,F68:F69)</f>
        <v>6556371</v>
      </c>
      <c r="G63" s="707"/>
      <c r="H63" s="708"/>
    </row>
    <row r="64" spans="1:8" ht="25.5">
      <c r="A64" s="141" t="s">
        <v>381</v>
      </c>
      <c r="B64" s="351">
        <v>70005</v>
      </c>
      <c r="C64" s="130" t="s">
        <v>128</v>
      </c>
      <c r="D64" s="744" t="s">
        <v>382</v>
      </c>
      <c r="E64" s="757"/>
      <c r="F64" s="773">
        <v>10000</v>
      </c>
      <c r="G64" s="707"/>
      <c r="H64" s="708"/>
    </row>
    <row r="65" spans="1:8" ht="25.5">
      <c r="A65" s="325"/>
      <c r="B65" s="324"/>
      <c r="C65" s="131" t="s">
        <v>395</v>
      </c>
      <c r="D65" s="744" t="s">
        <v>396</v>
      </c>
      <c r="E65" s="757"/>
      <c r="F65" s="773">
        <f>+F66+F67</f>
        <v>5425000</v>
      </c>
      <c r="G65" s="707"/>
      <c r="H65" s="708"/>
    </row>
    <row r="66" spans="1:8" ht="15">
      <c r="A66" s="326"/>
      <c r="B66" s="324"/>
      <c r="C66" s="328"/>
      <c r="D66" s="744" t="s">
        <v>129</v>
      </c>
      <c r="E66" s="757"/>
      <c r="F66" s="773">
        <v>150000</v>
      </c>
      <c r="G66" s="707"/>
      <c r="H66" s="708"/>
    </row>
    <row r="67" spans="1:8" ht="25.5">
      <c r="A67" s="327"/>
      <c r="B67" s="322"/>
      <c r="C67" s="323"/>
      <c r="D67" s="744" t="s">
        <v>383</v>
      </c>
      <c r="E67" s="757"/>
      <c r="F67" s="773">
        <f>2000000+3500000-100000-125000</f>
        <v>5275000</v>
      </c>
      <c r="G67" s="707"/>
      <c r="H67" s="708"/>
    </row>
    <row r="68" spans="1:8" ht="51">
      <c r="A68" s="140"/>
      <c r="B68" s="322"/>
      <c r="C68" s="130">
        <v>6260</v>
      </c>
      <c r="D68" s="744" t="s">
        <v>468</v>
      </c>
      <c r="E68" s="757"/>
      <c r="F68" s="773">
        <v>521371</v>
      </c>
      <c r="G68" s="707"/>
      <c r="H68" s="708"/>
    </row>
    <row r="69" spans="1:8" ht="51">
      <c r="A69" s="141" t="s">
        <v>469</v>
      </c>
      <c r="B69" s="53">
        <v>90001</v>
      </c>
      <c r="C69" s="130">
        <v>6260</v>
      </c>
      <c r="D69" s="744" t="s">
        <v>468</v>
      </c>
      <c r="E69" s="757"/>
      <c r="F69" s="773">
        <v>600000</v>
      </c>
      <c r="G69" s="707"/>
      <c r="H69" s="708"/>
    </row>
    <row r="70" spans="1:8" s="42" customFormat="1" ht="36" customHeight="1" thickBot="1">
      <c r="A70" s="785" t="s">
        <v>187</v>
      </c>
      <c r="B70" s="786"/>
      <c r="C70" s="786"/>
      <c r="D70" s="787"/>
      <c r="E70" s="762"/>
      <c r="F70" s="777">
        <f>+F12+F63</f>
        <v>53927734</v>
      </c>
      <c r="G70" s="707"/>
      <c r="H70" s="708"/>
    </row>
    <row r="71" spans="2:7" ht="12.75">
      <c r="B71" s="1"/>
      <c r="C71" s="1"/>
      <c r="D71" s="1"/>
      <c r="E71" s="59"/>
      <c r="F71" s="59"/>
      <c r="G71" s="1"/>
    </row>
    <row r="72" spans="1:7" ht="15.75" customHeight="1" thickBot="1">
      <c r="A72" s="780" t="s">
        <v>345</v>
      </c>
      <c r="B72" s="780"/>
      <c r="C72" s="780"/>
      <c r="D72" s="780"/>
      <c r="E72" s="780"/>
      <c r="F72" s="780"/>
      <c r="G72" s="1"/>
    </row>
    <row r="73" spans="1:7" ht="13.5" thickBot="1">
      <c r="A73" s="765" t="s">
        <v>4</v>
      </c>
      <c r="B73" s="253" t="s">
        <v>5</v>
      </c>
      <c r="C73" s="253" t="s">
        <v>6</v>
      </c>
      <c r="D73" s="253" t="s">
        <v>86</v>
      </c>
      <c r="E73" s="781" t="s">
        <v>465</v>
      </c>
      <c r="F73" s="782"/>
      <c r="G73" s="1"/>
    </row>
    <row r="74" spans="1:7" ht="12.75">
      <c r="A74" s="763" t="s">
        <v>163</v>
      </c>
      <c r="B74" s="322">
        <v>85212</v>
      </c>
      <c r="C74" s="323" t="s">
        <v>133</v>
      </c>
      <c r="D74" s="764" t="s">
        <v>134</v>
      </c>
      <c r="E74" s="783">
        <v>40000</v>
      </c>
      <c r="F74" s="784"/>
      <c r="G74" s="1"/>
    </row>
    <row r="75" spans="1:7" ht="16.5" thickBot="1">
      <c r="A75" s="719"/>
      <c r="B75" s="720"/>
      <c r="C75" s="721"/>
      <c r="D75" s="722" t="s">
        <v>505</v>
      </c>
      <c r="E75" s="778">
        <f>+E74</f>
        <v>40000</v>
      </c>
      <c r="F75" s="779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</sheetData>
  <mergeCells count="19">
    <mergeCell ref="B6:F6"/>
    <mergeCell ref="A10:A11"/>
    <mergeCell ref="B10:B11"/>
    <mergeCell ref="C10:C11"/>
    <mergeCell ref="D10:D11"/>
    <mergeCell ref="A70:D70"/>
    <mergeCell ref="A13:D13"/>
    <mergeCell ref="A20:D20"/>
    <mergeCell ref="A23:D23"/>
    <mergeCell ref="A50:D50"/>
    <mergeCell ref="A47:D47"/>
    <mergeCell ref="B63:D63"/>
    <mergeCell ref="A61:D61"/>
    <mergeCell ref="A56:D56"/>
    <mergeCell ref="A48:A49"/>
    <mergeCell ref="E75:F75"/>
    <mergeCell ref="A72:F72"/>
    <mergeCell ref="E73:F73"/>
    <mergeCell ref="E74:F74"/>
  </mergeCells>
  <printOptions horizontalCentered="1"/>
  <pageMargins left="0.5511811023622047" right="0.5511811023622047" top="0.38" bottom="0.35" header="0.27" footer="0.17"/>
  <pageSetup fitToHeight="10" horizontalDpi="300" verticalDpi="300" orientation="landscape" paperSize="9" scale="97" r:id="rId1"/>
  <headerFooter alignWithMargins="0">
    <oddFooter>&amp;C&amp;P / &amp;N</oddFooter>
  </headerFooter>
  <rowBreaks count="1" manualBreakCount="1">
    <brk id="5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5"/>
  <sheetViews>
    <sheetView view="pageBreakPreview" zoomScaleSheetLayoutView="100" workbookViewId="0" topLeftCell="H1">
      <selection activeCell="O2" sqref="O2:O4"/>
    </sheetView>
  </sheetViews>
  <sheetFormatPr defaultColWidth="9.00390625" defaultRowHeight="12.75"/>
  <cols>
    <col min="1" max="1" width="3.625" style="347" customWidth="1"/>
    <col min="2" max="2" width="13.625" style="347" customWidth="1"/>
    <col min="3" max="3" width="17.375" style="347" customWidth="1"/>
    <col min="4" max="6" width="9.25390625" style="347" bestFit="1" customWidth="1"/>
    <col min="7" max="7" width="9.375" style="347" bestFit="1" customWidth="1"/>
    <col min="8" max="8" width="7.375" style="347" customWidth="1"/>
    <col min="9" max="9" width="9.875" style="347" customWidth="1"/>
    <col min="10" max="10" width="9.375" style="347" bestFit="1" customWidth="1"/>
    <col min="11" max="11" width="16.25390625" style="347" customWidth="1"/>
    <col min="12" max="12" width="7.00390625" style="347" customWidth="1"/>
    <col min="13" max="13" width="9.125" style="347" customWidth="1"/>
    <col min="14" max="14" width="29.25390625" style="347" customWidth="1"/>
    <col min="15" max="15" width="14.75390625" style="347" customWidth="1"/>
    <col min="16" max="16" width="17.625" style="347" customWidth="1"/>
    <col min="17" max="17" width="11.125" style="347" customWidth="1"/>
    <col min="18" max="16384" width="9.125" style="347" customWidth="1"/>
  </cols>
  <sheetData>
    <row r="1" spans="6:15" s="551" customFormat="1" ht="12.75">
      <c r="F1" s="552" t="s">
        <v>532</v>
      </c>
      <c r="O1" s="552" t="s">
        <v>438</v>
      </c>
    </row>
    <row r="2" spans="6:15" s="551" customFormat="1" ht="12.75">
      <c r="F2" s="552" t="s">
        <v>376</v>
      </c>
      <c r="O2" t="s">
        <v>654</v>
      </c>
    </row>
    <row r="3" spans="6:15" s="551" customFormat="1" ht="12.75">
      <c r="F3" s="552" t="s">
        <v>130</v>
      </c>
      <c r="O3" t="s">
        <v>130</v>
      </c>
    </row>
    <row r="4" spans="6:15" s="551" customFormat="1" ht="12.75">
      <c r="F4" s="552" t="s">
        <v>377</v>
      </c>
      <c r="O4" t="s">
        <v>655</v>
      </c>
    </row>
    <row r="5" ht="15.75">
      <c r="F5"/>
    </row>
    <row r="6" spans="2:16" ht="18.75">
      <c r="B6" s="553" t="s">
        <v>533</v>
      </c>
      <c r="K6" s="888" t="s">
        <v>607</v>
      </c>
      <c r="L6" s="888"/>
      <c r="M6" s="888"/>
      <c r="N6" s="888"/>
      <c r="O6" s="888"/>
      <c r="P6" s="888"/>
    </row>
    <row r="7" spans="11:16" ht="15.75">
      <c r="K7" s="888"/>
      <c r="L7" s="888"/>
      <c r="M7" s="888"/>
      <c r="N7" s="888"/>
      <c r="O7" s="888"/>
      <c r="P7" s="888"/>
    </row>
    <row r="8" spans="1:9" ht="15.75">
      <c r="A8" s="359" t="s">
        <v>506</v>
      </c>
      <c r="B8" s="359" t="s">
        <v>507</v>
      </c>
      <c r="C8" s="537" t="s">
        <v>534</v>
      </c>
      <c r="D8" s="904" t="s">
        <v>537</v>
      </c>
      <c r="E8" s="905"/>
      <c r="F8" s="905"/>
      <c r="G8" s="905"/>
      <c r="H8" s="906"/>
      <c r="I8" s="534" t="s">
        <v>10</v>
      </c>
    </row>
    <row r="9" spans="1:9" ht="15.75">
      <c r="A9" s="366"/>
      <c r="B9" s="366"/>
      <c r="C9" s="538" t="s">
        <v>535</v>
      </c>
      <c r="D9" s="907" t="s">
        <v>538</v>
      </c>
      <c r="E9" s="908"/>
      <c r="F9" s="908"/>
      <c r="G9" s="908"/>
      <c r="H9" s="909"/>
      <c r="I9" s="540" t="s">
        <v>540</v>
      </c>
    </row>
    <row r="10" spans="1:9" ht="16.5" thickBot="1">
      <c r="A10" s="366"/>
      <c r="B10" s="366"/>
      <c r="C10" s="538" t="s">
        <v>536</v>
      </c>
      <c r="D10" s="907" t="s">
        <v>539</v>
      </c>
      <c r="E10" s="908"/>
      <c r="F10" s="908"/>
      <c r="G10" s="908"/>
      <c r="H10" s="909"/>
      <c r="I10" s="540" t="s">
        <v>541</v>
      </c>
    </row>
    <row r="11" spans="1:16" ht="31.5">
      <c r="A11" s="363"/>
      <c r="B11" s="363"/>
      <c r="C11" s="539" t="s">
        <v>545</v>
      </c>
      <c r="D11" s="910" t="s">
        <v>542</v>
      </c>
      <c r="E11" s="911"/>
      <c r="F11" s="911"/>
      <c r="G11" s="911"/>
      <c r="H11" s="912"/>
      <c r="I11" s="535"/>
      <c r="K11" s="673" t="s">
        <v>605</v>
      </c>
      <c r="L11" s="674" t="s">
        <v>4</v>
      </c>
      <c r="M11" s="674" t="s">
        <v>5</v>
      </c>
      <c r="N11" s="889" t="s">
        <v>606</v>
      </c>
      <c r="O11" s="890"/>
      <c r="P11" s="675" t="s">
        <v>391</v>
      </c>
    </row>
    <row r="12" spans="1:16" ht="15.75">
      <c r="A12" s="353">
        <v>1</v>
      </c>
      <c r="B12" s="353" t="s">
        <v>490</v>
      </c>
      <c r="C12" s="525">
        <v>11300</v>
      </c>
      <c r="D12" s="532" t="s">
        <v>647</v>
      </c>
      <c r="E12" s="541"/>
      <c r="F12" s="541"/>
      <c r="G12" s="541"/>
      <c r="H12" s="535"/>
      <c r="I12" s="355">
        <v>11300</v>
      </c>
      <c r="K12" s="676" t="s">
        <v>490</v>
      </c>
      <c r="L12" s="353">
        <v>921</v>
      </c>
      <c r="M12" s="353">
        <v>92195</v>
      </c>
      <c r="N12" s="527" t="s">
        <v>647</v>
      </c>
      <c r="O12" s="529"/>
      <c r="P12" s="677">
        <v>11300</v>
      </c>
    </row>
    <row r="13" spans="1:16" ht="15.75">
      <c r="A13" s="353">
        <v>2</v>
      </c>
      <c r="B13" s="353" t="s">
        <v>491</v>
      </c>
      <c r="C13" s="355">
        <v>6200</v>
      </c>
      <c r="D13" s="527" t="s">
        <v>546</v>
      </c>
      <c r="E13" s="528"/>
      <c r="F13" s="528"/>
      <c r="G13" s="528"/>
      <c r="H13" s="529"/>
      <c r="I13" s="355">
        <v>6200</v>
      </c>
      <c r="K13" s="676" t="s">
        <v>491</v>
      </c>
      <c r="L13" s="353">
        <v>600</v>
      </c>
      <c r="M13" s="353">
        <v>60016</v>
      </c>
      <c r="N13" s="527" t="s">
        <v>546</v>
      </c>
      <c r="O13" s="529"/>
      <c r="P13" s="677">
        <v>6200</v>
      </c>
    </row>
    <row r="14" spans="1:16" ht="15.75">
      <c r="A14" s="359">
        <v>3</v>
      </c>
      <c r="B14" s="359" t="s">
        <v>492</v>
      </c>
      <c r="C14" s="542">
        <v>12000</v>
      </c>
      <c r="D14" s="533" t="s">
        <v>547</v>
      </c>
      <c r="E14" s="543"/>
      <c r="F14" s="543"/>
      <c r="G14" s="543"/>
      <c r="H14" s="534"/>
      <c r="I14" s="542">
        <v>6500</v>
      </c>
      <c r="K14" s="678" t="s">
        <v>492</v>
      </c>
      <c r="L14" s="895">
        <v>921</v>
      </c>
      <c r="M14" s="684">
        <v>92195</v>
      </c>
      <c r="N14" s="685" t="s">
        <v>547</v>
      </c>
      <c r="O14" s="686"/>
      <c r="P14" s="687">
        <v>6500</v>
      </c>
    </row>
    <row r="15" spans="1:16" ht="15.75">
      <c r="A15" s="524"/>
      <c r="B15" s="524"/>
      <c r="C15" s="365"/>
      <c r="D15" s="532" t="s">
        <v>548</v>
      </c>
      <c r="E15" s="541"/>
      <c r="F15" s="541"/>
      <c r="G15" s="541"/>
      <c r="H15" s="535"/>
      <c r="I15" s="365">
        <v>5500</v>
      </c>
      <c r="K15" s="679"/>
      <c r="L15" s="896"/>
      <c r="M15" s="688">
        <v>92105</v>
      </c>
      <c r="N15" s="689" t="s">
        <v>548</v>
      </c>
      <c r="O15" s="690"/>
      <c r="P15" s="691">
        <v>5500</v>
      </c>
    </row>
    <row r="16" spans="1:16" ht="15.75">
      <c r="A16" s="359">
        <v>4</v>
      </c>
      <c r="B16" s="359" t="s">
        <v>493</v>
      </c>
      <c r="C16" s="542">
        <v>9700</v>
      </c>
      <c r="D16" s="533" t="s">
        <v>547</v>
      </c>
      <c r="E16" s="543"/>
      <c r="F16" s="543"/>
      <c r="G16" s="543"/>
      <c r="H16" s="534"/>
      <c r="I16" s="542">
        <v>7500</v>
      </c>
      <c r="K16" s="678" t="s">
        <v>493</v>
      </c>
      <c r="L16" s="893">
        <v>921</v>
      </c>
      <c r="M16" s="684">
        <v>92195</v>
      </c>
      <c r="N16" s="685" t="s">
        <v>547</v>
      </c>
      <c r="O16" s="686"/>
      <c r="P16" s="687">
        <v>7500</v>
      </c>
    </row>
    <row r="17" spans="1:16" ht="15.75">
      <c r="A17" s="524"/>
      <c r="B17" s="524"/>
      <c r="C17" s="365"/>
      <c r="D17" s="532" t="s">
        <v>548</v>
      </c>
      <c r="E17" s="541"/>
      <c r="F17" s="541"/>
      <c r="G17" s="541"/>
      <c r="H17" s="535"/>
      <c r="I17" s="365">
        <v>2200</v>
      </c>
      <c r="K17" s="679"/>
      <c r="L17" s="894"/>
      <c r="M17" s="688">
        <v>92105</v>
      </c>
      <c r="N17" s="689" t="s">
        <v>548</v>
      </c>
      <c r="O17" s="690"/>
      <c r="P17" s="691">
        <v>2200</v>
      </c>
    </row>
    <row r="18" spans="1:16" ht="15.75">
      <c r="A18" s="359">
        <v>5</v>
      </c>
      <c r="B18" s="359" t="s">
        <v>494</v>
      </c>
      <c r="C18" s="542">
        <v>12300</v>
      </c>
      <c r="D18" s="533" t="s">
        <v>547</v>
      </c>
      <c r="E18" s="543"/>
      <c r="F18" s="543"/>
      <c r="G18" s="543"/>
      <c r="H18" s="534"/>
      <c r="I18" s="542">
        <v>2800</v>
      </c>
      <c r="K18" s="678" t="s">
        <v>494</v>
      </c>
      <c r="L18" s="897">
        <v>921</v>
      </c>
      <c r="M18" s="684">
        <v>92195</v>
      </c>
      <c r="N18" s="685" t="s">
        <v>547</v>
      </c>
      <c r="O18" s="686"/>
      <c r="P18" s="687">
        <v>2800</v>
      </c>
    </row>
    <row r="19" spans="1:16" ht="15.75">
      <c r="A19" s="366"/>
      <c r="B19" s="366"/>
      <c r="C19" s="536"/>
      <c r="D19" s="531" t="s">
        <v>548</v>
      </c>
      <c r="E19" s="526"/>
      <c r="F19" s="526"/>
      <c r="G19" s="526"/>
      <c r="H19" s="540"/>
      <c r="I19" s="536">
        <v>1500</v>
      </c>
      <c r="K19" s="680"/>
      <c r="L19" s="898"/>
      <c r="M19" s="692">
        <v>92105</v>
      </c>
      <c r="N19" s="693" t="s">
        <v>548</v>
      </c>
      <c r="O19" s="694"/>
      <c r="P19" s="695">
        <v>1500</v>
      </c>
    </row>
    <row r="20" spans="1:16" ht="15.75">
      <c r="A20" s="524"/>
      <c r="B20" s="524"/>
      <c r="C20" s="365"/>
      <c r="D20" s="532" t="s">
        <v>549</v>
      </c>
      <c r="E20" s="541"/>
      <c r="F20" s="541"/>
      <c r="G20" s="541"/>
      <c r="H20" s="535"/>
      <c r="I20" s="365">
        <v>8000</v>
      </c>
      <c r="K20" s="679"/>
      <c r="L20" s="688">
        <v>700</v>
      </c>
      <c r="M20" s="688">
        <v>70095</v>
      </c>
      <c r="N20" s="689" t="s">
        <v>549</v>
      </c>
      <c r="O20" s="690"/>
      <c r="P20" s="691">
        <v>8000</v>
      </c>
    </row>
    <row r="21" spans="1:16" ht="15.75">
      <c r="A21" s="359">
        <v>6</v>
      </c>
      <c r="B21" s="359" t="s">
        <v>495</v>
      </c>
      <c r="C21" s="542">
        <v>10600</v>
      </c>
      <c r="D21" s="533" t="s">
        <v>547</v>
      </c>
      <c r="E21" s="543"/>
      <c r="F21" s="543"/>
      <c r="G21" s="543"/>
      <c r="H21" s="534"/>
      <c r="I21" s="542">
        <v>6600</v>
      </c>
      <c r="K21" s="678" t="s">
        <v>495</v>
      </c>
      <c r="L21" s="684">
        <v>921</v>
      </c>
      <c r="M21" s="684">
        <v>92195</v>
      </c>
      <c r="N21" s="685" t="s">
        <v>547</v>
      </c>
      <c r="O21" s="686"/>
      <c r="P21" s="687">
        <v>6600</v>
      </c>
    </row>
    <row r="22" spans="1:16" ht="15.75">
      <c r="A22" s="524"/>
      <c r="B22" s="524"/>
      <c r="C22" s="365"/>
      <c r="D22" s="532" t="s">
        <v>550</v>
      </c>
      <c r="E22" s="541"/>
      <c r="F22" s="541"/>
      <c r="G22" s="541"/>
      <c r="H22" s="535"/>
      <c r="I22" s="365">
        <v>4000</v>
      </c>
      <c r="K22" s="679"/>
      <c r="L22" s="688">
        <v>700</v>
      </c>
      <c r="M22" s="688">
        <v>70095</v>
      </c>
      <c r="N22" s="689" t="s">
        <v>550</v>
      </c>
      <c r="O22" s="690"/>
      <c r="P22" s="691">
        <v>4000</v>
      </c>
    </row>
    <row r="23" spans="1:16" ht="15.75">
      <c r="A23" s="353">
        <v>7</v>
      </c>
      <c r="B23" s="353" t="s">
        <v>496</v>
      </c>
      <c r="C23" s="355">
        <v>10500</v>
      </c>
      <c r="D23" s="527" t="s">
        <v>647</v>
      </c>
      <c r="E23" s="528"/>
      <c r="F23" s="528"/>
      <c r="G23" s="528"/>
      <c r="H23" s="529"/>
      <c r="I23" s="355">
        <v>10500</v>
      </c>
      <c r="K23" s="676" t="s">
        <v>496</v>
      </c>
      <c r="L23" s="353">
        <v>921</v>
      </c>
      <c r="M23" s="353">
        <v>92195</v>
      </c>
      <c r="N23" s="527" t="s">
        <v>647</v>
      </c>
      <c r="O23" s="529"/>
      <c r="P23" s="677">
        <v>10500</v>
      </c>
    </row>
    <row r="24" spans="1:16" ht="15.75">
      <c r="A24" s="359">
        <v>8</v>
      </c>
      <c r="B24" s="359" t="s">
        <v>497</v>
      </c>
      <c r="C24" s="542">
        <v>6800</v>
      </c>
      <c r="D24" s="533" t="s">
        <v>551</v>
      </c>
      <c r="E24" s="543"/>
      <c r="F24" s="543"/>
      <c r="G24" s="543"/>
      <c r="H24" s="534"/>
      <c r="I24" s="542">
        <v>6000</v>
      </c>
      <c r="K24" s="678" t="s">
        <v>497</v>
      </c>
      <c r="L24" s="895">
        <v>921</v>
      </c>
      <c r="M24" s="684">
        <v>92195</v>
      </c>
      <c r="N24" s="685" t="s">
        <v>551</v>
      </c>
      <c r="O24" s="686"/>
      <c r="P24" s="687">
        <v>6000</v>
      </c>
    </row>
    <row r="25" spans="1:16" ht="15.75">
      <c r="A25" s="524"/>
      <c r="B25" s="524"/>
      <c r="C25" s="365"/>
      <c r="D25" s="532" t="s">
        <v>548</v>
      </c>
      <c r="E25" s="541"/>
      <c r="F25" s="541"/>
      <c r="G25" s="541"/>
      <c r="H25" s="535"/>
      <c r="I25" s="365">
        <v>800</v>
      </c>
      <c r="K25" s="679"/>
      <c r="L25" s="896"/>
      <c r="M25" s="688">
        <v>92105</v>
      </c>
      <c r="N25" s="689" t="s">
        <v>548</v>
      </c>
      <c r="O25" s="690"/>
      <c r="P25" s="691">
        <v>800</v>
      </c>
    </row>
    <row r="26" spans="1:16" ht="15.75">
      <c r="A26" s="359">
        <v>9</v>
      </c>
      <c r="B26" s="359" t="s">
        <v>498</v>
      </c>
      <c r="C26" s="542">
        <v>18100</v>
      </c>
      <c r="D26" s="533" t="s">
        <v>647</v>
      </c>
      <c r="E26" s="543"/>
      <c r="F26" s="543"/>
      <c r="G26" s="543"/>
      <c r="H26" s="534"/>
      <c r="I26" s="542">
        <v>6100</v>
      </c>
      <c r="K26" s="678" t="s">
        <v>498</v>
      </c>
      <c r="L26" s="897">
        <v>921</v>
      </c>
      <c r="M26" s="684">
        <v>92195</v>
      </c>
      <c r="N26" s="685" t="s">
        <v>647</v>
      </c>
      <c r="O26" s="686"/>
      <c r="P26" s="687">
        <v>6100</v>
      </c>
    </row>
    <row r="27" spans="1:16" ht="15.75">
      <c r="A27" s="366"/>
      <c r="B27" s="366"/>
      <c r="C27" s="536"/>
      <c r="D27" s="531" t="s">
        <v>548</v>
      </c>
      <c r="E27" s="526"/>
      <c r="F27" s="526"/>
      <c r="G27" s="526"/>
      <c r="H27" s="540"/>
      <c r="I27" s="536">
        <v>5000</v>
      </c>
      <c r="K27" s="680"/>
      <c r="L27" s="898"/>
      <c r="M27" s="692">
        <v>92105</v>
      </c>
      <c r="N27" s="693" t="s">
        <v>548</v>
      </c>
      <c r="O27" s="694"/>
      <c r="P27" s="695">
        <v>5000</v>
      </c>
    </row>
    <row r="28" spans="1:16" ht="15.75">
      <c r="A28" s="524"/>
      <c r="B28" s="524"/>
      <c r="C28" s="365"/>
      <c r="D28" s="532" t="s">
        <v>552</v>
      </c>
      <c r="E28" s="541"/>
      <c r="F28" s="541"/>
      <c r="G28" s="541"/>
      <c r="H28" s="535"/>
      <c r="I28" s="365">
        <v>7000</v>
      </c>
      <c r="K28" s="679"/>
      <c r="L28" s="688">
        <v>700</v>
      </c>
      <c r="M28" s="688">
        <v>70095</v>
      </c>
      <c r="N28" s="689" t="s">
        <v>552</v>
      </c>
      <c r="O28" s="690"/>
      <c r="P28" s="691">
        <v>7000</v>
      </c>
    </row>
    <row r="29" spans="1:16" ht="15.75">
      <c r="A29" s="353">
        <v>10</v>
      </c>
      <c r="B29" s="353" t="s">
        <v>499</v>
      </c>
      <c r="C29" s="355">
        <v>6600</v>
      </c>
      <c r="D29" s="527" t="s">
        <v>647</v>
      </c>
      <c r="E29" s="528"/>
      <c r="F29" s="528"/>
      <c r="G29" s="528"/>
      <c r="H29" s="529"/>
      <c r="I29" s="355">
        <v>6600</v>
      </c>
      <c r="K29" s="676" t="s">
        <v>499</v>
      </c>
      <c r="L29" s="353">
        <v>921</v>
      </c>
      <c r="M29" s="353">
        <v>92195</v>
      </c>
      <c r="N29" s="527" t="s">
        <v>647</v>
      </c>
      <c r="O29" s="529"/>
      <c r="P29" s="677">
        <v>6600</v>
      </c>
    </row>
    <row r="30" spans="1:16" ht="15.75">
      <c r="A30" s="359">
        <v>11</v>
      </c>
      <c r="B30" s="359" t="s">
        <v>500</v>
      </c>
      <c r="C30" s="542">
        <v>21200</v>
      </c>
      <c r="D30" s="533" t="s">
        <v>647</v>
      </c>
      <c r="E30" s="543"/>
      <c r="F30" s="543"/>
      <c r="G30" s="543"/>
      <c r="H30" s="534"/>
      <c r="I30" s="542">
        <v>13200</v>
      </c>
      <c r="K30" s="678" t="s">
        <v>500</v>
      </c>
      <c r="L30" s="895">
        <v>921</v>
      </c>
      <c r="M30" s="684">
        <v>92195</v>
      </c>
      <c r="N30" s="685" t="s">
        <v>647</v>
      </c>
      <c r="O30" s="686"/>
      <c r="P30" s="687">
        <v>13200</v>
      </c>
    </row>
    <row r="31" spans="1:16" ht="15.75">
      <c r="A31" s="524"/>
      <c r="B31" s="524"/>
      <c r="C31" s="365"/>
      <c r="D31" s="532" t="s">
        <v>548</v>
      </c>
      <c r="E31" s="541"/>
      <c r="F31" s="541"/>
      <c r="G31" s="541"/>
      <c r="H31" s="535"/>
      <c r="I31" s="365">
        <v>8000</v>
      </c>
      <c r="K31" s="679"/>
      <c r="L31" s="896"/>
      <c r="M31" s="688">
        <v>92105</v>
      </c>
      <c r="N31" s="689" t="s">
        <v>548</v>
      </c>
      <c r="O31" s="690"/>
      <c r="P31" s="691">
        <v>8000</v>
      </c>
    </row>
    <row r="32" spans="1:16" ht="15.75">
      <c r="A32" s="359">
        <v>12</v>
      </c>
      <c r="B32" s="359" t="s">
        <v>501</v>
      </c>
      <c r="C32" s="544">
        <v>21200</v>
      </c>
      <c r="D32" s="533" t="s">
        <v>647</v>
      </c>
      <c r="E32" s="543"/>
      <c r="F32" s="543"/>
      <c r="G32" s="543"/>
      <c r="H32" s="534"/>
      <c r="I32" s="542">
        <v>17000</v>
      </c>
      <c r="K32" s="678" t="s">
        <v>501</v>
      </c>
      <c r="L32" s="895">
        <v>921</v>
      </c>
      <c r="M32" s="684">
        <v>92195</v>
      </c>
      <c r="N32" s="685" t="s">
        <v>647</v>
      </c>
      <c r="O32" s="686"/>
      <c r="P32" s="687">
        <v>17000</v>
      </c>
    </row>
    <row r="33" spans="1:16" ht="15.75">
      <c r="A33" s="524"/>
      <c r="B33" s="524"/>
      <c r="C33" s="541"/>
      <c r="D33" s="532" t="s">
        <v>548</v>
      </c>
      <c r="E33" s="541"/>
      <c r="F33" s="541"/>
      <c r="G33" s="541"/>
      <c r="H33" s="535"/>
      <c r="I33" s="365">
        <v>4200</v>
      </c>
      <c r="K33" s="679"/>
      <c r="L33" s="896"/>
      <c r="M33" s="688">
        <v>92105</v>
      </c>
      <c r="N33" s="689" t="s">
        <v>548</v>
      </c>
      <c r="O33" s="690"/>
      <c r="P33" s="691">
        <v>4200</v>
      </c>
    </row>
    <row r="34" spans="1:16" ht="15.75">
      <c r="A34" s="359">
        <v>13</v>
      </c>
      <c r="B34" s="533" t="s">
        <v>502</v>
      </c>
      <c r="C34" s="542">
        <v>9600</v>
      </c>
      <c r="D34" s="533" t="s">
        <v>647</v>
      </c>
      <c r="E34" s="543"/>
      <c r="F34" s="543"/>
      <c r="G34" s="543"/>
      <c r="H34" s="534"/>
      <c r="I34" s="542">
        <v>7000</v>
      </c>
      <c r="K34" s="678" t="s">
        <v>502</v>
      </c>
      <c r="L34" s="684">
        <v>921</v>
      </c>
      <c r="M34" s="684">
        <v>92195</v>
      </c>
      <c r="N34" s="685" t="s">
        <v>647</v>
      </c>
      <c r="O34" s="686"/>
      <c r="P34" s="687">
        <v>7000</v>
      </c>
    </row>
    <row r="35" spans="1:16" ht="15.75">
      <c r="A35" s="524"/>
      <c r="B35" s="541"/>
      <c r="C35" s="524"/>
      <c r="D35" s="532" t="s">
        <v>553</v>
      </c>
      <c r="E35" s="541"/>
      <c r="F35" s="541"/>
      <c r="G35" s="541"/>
      <c r="H35" s="535"/>
      <c r="I35" s="365">
        <v>2600</v>
      </c>
      <c r="K35" s="679"/>
      <c r="L35" s="688">
        <v>700</v>
      </c>
      <c r="M35" s="688">
        <v>70095</v>
      </c>
      <c r="N35" s="689" t="s">
        <v>553</v>
      </c>
      <c r="O35" s="690"/>
      <c r="P35" s="691">
        <v>2600</v>
      </c>
    </row>
    <row r="36" spans="1:16" ht="15.75">
      <c r="A36" s="359">
        <v>14</v>
      </c>
      <c r="B36" s="359" t="s">
        <v>503</v>
      </c>
      <c r="C36" s="542">
        <v>13700</v>
      </c>
      <c r="D36" s="533" t="s">
        <v>547</v>
      </c>
      <c r="E36" s="543"/>
      <c r="F36" s="543"/>
      <c r="G36" s="543"/>
      <c r="H36" s="534"/>
      <c r="I36" s="542">
        <v>1000</v>
      </c>
      <c r="K36" s="678" t="s">
        <v>503</v>
      </c>
      <c r="L36" s="895">
        <v>921</v>
      </c>
      <c r="M36" s="684">
        <v>92195</v>
      </c>
      <c r="N36" s="685" t="s">
        <v>547</v>
      </c>
      <c r="O36" s="686"/>
      <c r="P36" s="687">
        <v>1000</v>
      </c>
    </row>
    <row r="37" spans="1:16" ht="15.75">
      <c r="A37" s="366"/>
      <c r="B37" s="366"/>
      <c r="C37" s="536"/>
      <c r="D37" s="531" t="s">
        <v>548</v>
      </c>
      <c r="E37" s="526"/>
      <c r="F37" s="526"/>
      <c r="G37" s="526"/>
      <c r="H37" s="540"/>
      <c r="I37" s="536">
        <v>4800</v>
      </c>
      <c r="K37" s="680"/>
      <c r="L37" s="896"/>
      <c r="M37" s="688">
        <v>92105</v>
      </c>
      <c r="N37" s="689" t="s">
        <v>548</v>
      </c>
      <c r="O37" s="690"/>
      <c r="P37" s="691">
        <v>4800</v>
      </c>
    </row>
    <row r="38" spans="1:16" ht="15.75">
      <c r="A38" s="524"/>
      <c r="B38" s="524"/>
      <c r="C38" s="365"/>
      <c r="D38" s="532" t="s">
        <v>554</v>
      </c>
      <c r="E38" s="541"/>
      <c r="F38" s="541"/>
      <c r="G38" s="541"/>
      <c r="H38" s="535"/>
      <c r="I38" s="365">
        <v>7900</v>
      </c>
      <c r="K38" s="679"/>
      <c r="L38" s="353">
        <v>700</v>
      </c>
      <c r="M38" s="353">
        <v>70095</v>
      </c>
      <c r="N38" s="527" t="s">
        <v>554</v>
      </c>
      <c r="O38" s="529"/>
      <c r="P38" s="677">
        <v>7900</v>
      </c>
    </row>
    <row r="39" spans="1:16" ht="16.5" thickBot="1">
      <c r="A39" s="353">
        <v>15</v>
      </c>
      <c r="B39" s="353" t="s">
        <v>504</v>
      </c>
      <c r="C39" s="355">
        <v>21200</v>
      </c>
      <c r="D39" s="527" t="s">
        <v>547</v>
      </c>
      <c r="E39" s="528"/>
      <c r="F39" s="528"/>
      <c r="G39" s="528"/>
      <c r="H39" s="529"/>
      <c r="I39" s="355">
        <v>21200</v>
      </c>
      <c r="K39" s="678" t="s">
        <v>504</v>
      </c>
      <c r="L39" s="359">
        <v>921</v>
      </c>
      <c r="M39" s="353">
        <v>92195</v>
      </c>
      <c r="N39" s="527" t="s">
        <v>547</v>
      </c>
      <c r="O39" s="529"/>
      <c r="P39" s="677">
        <v>21200</v>
      </c>
    </row>
    <row r="40" spans="1:16" ht="16.5" thickBot="1">
      <c r="A40" s="353"/>
      <c r="B40" s="356" t="s">
        <v>505</v>
      </c>
      <c r="C40" s="357">
        <f>SUM(C12:C39)</f>
        <v>191000</v>
      </c>
      <c r="D40" s="527"/>
      <c r="E40" s="528"/>
      <c r="F40" s="528"/>
      <c r="G40" s="528"/>
      <c r="H40" s="529"/>
      <c r="I40" s="357">
        <f>SUM(I12:I39)</f>
        <v>191000</v>
      </c>
      <c r="K40" s="682"/>
      <c r="L40" s="683"/>
      <c r="M40" s="891" t="s">
        <v>556</v>
      </c>
      <c r="N40" s="891"/>
      <c r="O40" s="892"/>
      <c r="P40" s="681">
        <f>SUM(P12:P39)</f>
        <v>191000</v>
      </c>
    </row>
    <row r="41" spans="1:9" ht="15.75">
      <c r="A41" s="526"/>
      <c r="B41" s="545"/>
      <c r="C41" s="546"/>
      <c r="D41" s="526"/>
      <c r="E41" s="526"/>
      <c r="F41" s="526"/>
      <c r="G41" s="526"/>
      <c r="H41" s="526"/>
      <c r="I41" s="545"/>
    </row>
    <row r="42" ht="18.75">
      <c r="A42" s="553" t="s">
        <v>543</v>
      </c>
    </row>
    <row r="43" ht="18.75">
      <c r="A43" s="553" t="s">
        <v>544</v>
      </c>
    </row>
    <row r="44" spans="1:9" ht="15.75">
      <c r="A44" s="526"/>
      <c r="B44" s="545"/>
      <c r="C44" s="546"/>
      <c r="D44" s="526"/>
      <c r="E44" s="526"/>
      <c r="F44" s="526"/>
      <c r="G44" s="526"/>
      <c r="H44" s="526"/>
      <c r="I44" s="545"/>
    </row>
    <row r="45" spans="1:9" ht="15.75">
      <c r="A45" s="353" t="s">
        <v>506</v>
      </c>
      <c r="B45" s="353" t="s">
        <v>4</v>
      </c>
      <c r="C45" s="355" t="s">
        <v>5</v>
      </c>
      <c r="D45" s="527" t="s">
        <v>24</v>
      </c>
      <c r="E45" s="529"/>
      <c r="F45" s="527" t="s">
        <v>27</v>
      </c>
      <c r="G45" s="528"/>
      <c r="H45" s="533" t="s">
        <v>555</v>
      </c>
      <c r="I45" s="548"/>
    </row>
    <row r="46" spans="1:9" ht="15.75">
      <c r="A46" s="554">
        <v>1</v>
      </c>
      <c r="B46" s="554">
        <v>600</v>
      </c>
      <c r="C46" s="555">
        <v>60016</v>
      </c>
      <c r="D46" s="556"/>
      <c r="E46" s="557">
        <v>6200</v>
      </c>
      <c r="F46" s="556"/>
      <c r="G46" s="557"/>
      <c r="H46" s="558"/>
      <c r="I46" s="557">
        <f>+E46+G46</f>
        <v>6200</v>
      </c>
    </row>
    <row r="47" spans="1:9" ht="15.75">
      <c r="A47" s="559">
        <v>2</v>
      </c>
      <c r="B47" s="559">
        <v>700</v>
      </c>
      <c r="C47" s="560">
        <v>70095</v>
      </c>
      <c r="D47" s="561"/>
      <c r="E47" s="562">
        <f>+E133</f>
        <v>2600</v>
      </c>
      <c r="F47" s="561"/>
      <c r="G47" s="562">
        <f>+H133</f>
        <v>26900</v>
      </c>
      <c r="H47" s="563"/>
      <c r="I47" s="562">
        <f>+E47+G47</f>
        <v>29500</v>
      </c>
    </row>
    <row r="48" spans="1:9" ht="15.75">
      <c r="A48" s="559">
        <v>3</v>
      </c>
      <c r="B48" s="559">
        <v>921</v>
      </c>
      <c r="C48" s="560">
        <v>92105</v>
      </c>
      <c r="D48" s="561"/>
      <c r="E48" s="562">
        <f>+F133</f>
        <v>32000</v>
      </c>
      <c r="F48" s="561"/>
      <c r="G48" s="562"/>
      <c r="H48" s="563"/>
      <c r="I48" s="562">
        <f>+E48+G48</f>
        <v>32000</v>
      </c>
    </row>
    <row r="49" spans="1:9" ht="15.75">
      <c r="A49" s="564">
        <v>4</v>
      </c>
      <c r="B49" s="564">
        <v>921</v>
      </c>
      <c r="C49" s="565">
        <v>92195</v>
      </c>
      <c r="D49" s="566"/>
      <c r="E49" s="567">
        <f>+G133</f>
        <v>118300</v>
      </c>
      <c r="F49" s="566"/>
      <c r="G49" s="567">
        <f>+I133</f>
        <v>5000</v>
      </c>
      <c r="H49" s="568"/>
      <c r="I49" s="567">
        <f>+E49+G49</f>
        <v>123300</v>
      </c>
    </row>
    <row r="50" spans="1:9" ht="15.75">
      <c r="A50" s="899" t="s">
        <v>556</v>
      </c>
      <c r="B50" s="900"/>
      <c r="C50" s="900"/>
      <c r="D50" s="549"/>
      <c r="E50" s="550">
        <f>SUM(E46:E49)</f>
        <v>159100</v>
      </c>
      <c r="F50" s="549"/>
      <c r="G50" s="550">
        <f>SUM(G46:G49)</f>
        <v>31900</v>
      </c>
      <c r="H50" s="527"/>
      <c r="I50" s="550">
        <f>SUM(I46:I49)</f>
        <v>191000</v>
      </c>
    </row>
    <row r="51" spans="1:9" ht="15.75">
      <c r="A51" s="526"/>
      <c r="B51" s="526"/>
      <c r="C51" s="547"/>
      <c r="D51" s="526"/>
      <c r="E51" s="526"/>
      <c r="F51" s="526"/>
      <c r="G51" s="526"/>
      <c r="H51" s="526"/>
      <c r="I51" s="526"/>
    </row>
    <row r="52" spans="1:9" ht="15.75">
      <c r="A52" s="526"/>
      <c r="B52" s="526"/>
      <c r="C52" s="547"/>
      <c r="D52" s="526"/>
      <c r="E52" s="526"/>
      <c r="F52" s="526"/>
      <c r="G52" s="547">
        <f>+G50+E50</f>
        <v>191000</v>
      </c>
      <c r="H52" s="526"/>
      <c r="I52" s="526"/>
    </row>
    <row r="53" spans="1:9" ht="15.75">
      <c r="A53" s="526"/>
      <c r="B53" s="526"/>
      <c r="C53" s="547"/>
      <c r="D53" s="526"/>
      <c r="E53" s="526"/>
      <c r="F53" s="526"/>
      <c r="G53" s="526"/>
      <c r="H53" s="526"/>
      <c r="I53" s="526"/>
    </row>
    <row r="54" spans="1:9" ht="15.75">
      <c r="A54" s="526"/>
      <c r="B54" s="545"/>
      <c r="C54" s="546"/>
      <c r="D54" s="526"/>
      <c r="E54" s="526"/>
      <c r="F54" s="526"/>
      <c r="G54" s="526"/>
      <c r="H54" s="526"/>
      <c r="I54" s="545"/>
    </row>
    <row r="55" spans="1:9" ht="15.75">
      <c r="A55" s="526"/>
      <c r="B55" s="545"/>
      <c r="C55" s="546"/>
      <c r="D55" s="526"/>
      <c r="E55" s="526"/>
      <c r="F55" s="526"/>
      <c r="G55" s="526"/>
      <c r="H55" s="526"/>
      <c r="I55" s="545"/>
    </row>
    <row r="56" spans="1:9" ht="15.75">
      <c r="A56" s="526"/>
      <c r="B56" s="545"/>
      <c r="C56" s="546"/>
      <c r="D56" s="526"/>
      <c r="E56" s="526"/>
      <c r="F56" s="526"/>
      <c r="G56" s="526"/>
      <c r="H56" s="526"/>
      <c r="I56" s="545"/>
    </row>
    <row r="60" ht="18.75">
      <c r="B60" s="358" t="s">
        <v>543</v>
      </c>
    </row>
    <row r="61" ht="18.75">
      <c r="B61" s="358" t="s">
        <v>544</v>
      </c>
    </row>
    <row r="62" spans="6:7" ht="15.75">
      <c r="F62" s="347" t="s">
        <v>513</v>
      </c>
      <c r="G62" s="347" t="s">
        <v>514</v>
      </c>
    </row>
    <row r="63" spans="1:11" ht="15.75">
      <c r="A63" s="359" t="s">
        <v>506</v>
      </c>
      <c r="B63" s="359" t="s">
        <v>507</v>
      </c>
      <c r="C63" s="360" t="s">
        <v>518</v>
      </c>
      <c r="D63" s="901" t="s">
        <v>519</v>
      </c>
      <c r="E63" s="901"/>
      <c r="F63" s="901"/>
      <c r="G63" s="901"/>
      <c r="H63" s="901"/>
      <c r="I63" s="901"/>
      <c r="J63" s="359" t="s">
        <v>505</v>
      </c>
      <c r="K63" s="526"/>
    </row>
    <row r="64" spans="1:11" ht="15.75">
      <c r="A64" s="366"/>
      <c r="B64" s="366"/>
      <c r="C64" s="366" t="s">
        <v>517</v>
      </c>
      <c r="D64" s="901" t="s">
        <v>24</v>
      </c>
      <c r="E64" s="901"/>
      <c r="F64" s="901"/>
      <c r="G64" s="902"/>
      <c r="H64" s="903" t="s">
        <v>27</v>
      </c>
      <c r="I64" s="901"/>
      <c r="J64" s="362"/>
      <c r="K64" s="671"/>
    </row>
    <row r="65" spans="1:13" ht="15.75">
      <c r="A65" s="363"/>
      <c r="B65" s="363"/>
      <c r="C65" s="363"/>
      <c r="D65" s="364">
        <v>60016</v>
      </c>
      <c r="E65" s="354">
        <v>70095</v>
      </c>
      <c r="F65" s="354">
        <v>92105</v>
      </c>
      <c r="G65" s="354">
        <v>92195</v>
      </c>
      <c r="H65" s="354">
        <v>70095</v>
      </c>
      <c r="I65" s="361">
        <v>92195</v>
      </c>
      <c r="J65" s="363"/>
      <c r="K65" s="672"/>
      <c r="L65" s="352"/>
      <c r="M65" s="352"/>
    </row>
    <row r="66" spans="1:12" ht="15.75">
      <c r="A66" s="533">
        <v>1</v>
      </c>
      <c r="B66" s="359" t="s">
        <v>490</v>
      </c>
      <c r="C66" s="365">
        <v>11300</v>
      </c>
      <c r="D66" s="355"/>
      <c r="E66" s="355"/>
      <c r="F66" s="355"/>
      <c r="G66" s="355">
        <v>6300</v>
      </c>
      <c r="H66" s="355"/>
      <c r="I66" s="355">
        <v>5000</v>
      </c>
      <c r="J66" s="365">
        <f>SUM(D66:I66)</f>
        <v>11300</v>
      </c>
      <c r="K66" s="547"/>
      <c r="L66" s="348">
        <f>+C66-J66</f>
        <v>0</v>
      </c>
    </row>
    <row r="67" spans="1:12" ht="15.75">
      <c r="A67" s="531"/>
      <c r="B67" s="536">
        <v>4210</v>
      </c>
      <c r="C67" s="365"/>
      <c r="D67" s="355"/>
      <c r="E67" s="355"/>
      <c r="F67" s="353"/>
      <c r="G67" s="355">
        <v>2300</v>
      </c>
      <c r="H67" s="355"/>
      <c r="I67" s="355"/>
      <c r="J67" s="365"/>
      <c r="K67" s="547"/>
      <c r="L67" s="348"/>
    </row>
    <row r="68" spans="1:12" ht="15.75">
      <c r="A68" s="531"/>
      <c r="B68" s="536">
        <v>4260</v>
      </c>
      <c r="C68" s="365"/>
      <c r="D68" s="355"/>
      <c r="E68" s="355"/>
      <c r="F68" s="353"/>
      <c r="G68" s="355">
        <v>2000</v>
      </c>
      <c r="H68" s="355"/>
      <c r="I68" s="355"/>
      <c r="J68" s="365"/>
      <c r="K68" s="547"/>
      <c r="L68" s="348"/>
    </row>
    <row r="69" spans="1:12" ht="15.75">
      <c r="A69" s="531"/>
      <c r="B69" s="536">
        <v>4300</v>
      </c>
      <c r="C69" s="365"/>
      <c r="D69" s="355"/>
      <c r="E69" s="355"/>
      <c r="F69" s="353"/>
      <c r="G69" s="355">
        <v>2000</v>
      </c>
      <c r="H69" s="355"/>
      <c r="I69" s="355"/>
      <c r="J69" s="365"/>
      <c r="K69" s="547"/>
      <c r="L69" s="348"/>
    </row>
    <row r="70" spans="1:12" ht="15.75">
      <c r="A70" s="532"/>
      <c r="B70" s="365">
        <v>6060</v>
      </c>
      <c r="C70" s="365"/>
      <c r="D70" s="355"/>
      <c r="E70" s="355"/>
      <c r="F70" s="353"/>
      <c r="G70" s="355"/>
      <c r="H70" s="355"/>
      <c r="I70" s="355">
        <v>5000</v>
      </c>
      <c r="J70" s="365"/>
      <c r="K70" s="547"/>
      <c r="L70" s="348"/>
    </row>
    <row r="71" spans="1:12" ht="15.75">
      <c r="A71" s="533">
        <v>2</v>
      </c>
      <c r="B71" s="359" t="s">
        <v>491</v>
      </c>
      <c r="C71" s="355">
        <v>6200</v>
      </c>
      <c r="D71" s="355">
        <f>+C71</f>
        <v>6200</v>
      </c>
      <c r="E71" s="355"/>
      <c r="F71" s="355"/>
      <c r="G71" s="355"/>
      <c r="H71" s="355"/>
      <c r="I71" s="355"/>
      <c r="J71" s="355">
        <f>SUM(D71:I71)</f>
        <v>6200</v>
      </c>
      <c r="K71" s="547"/>
      <c r="L71" s="348">
        <f>+C71-J71</f>
        <v>0</v>
      </c>
    </row>
    <row r="72" spans="1:12" ht="15.75">
      <c r="A72" s="532"/>
      <c r="B72" s="366">
        <v>4210</v>
      </c>
      <c r="C72" s="355"/>
      <c r="D72" s="355">
        <v>6200</v>
      </c>
      <c r="E72" s="355"/>
      <c r="F72" s="355"/>
      <c r="G72" s="355"/>
      <c r="H72" s="355"/>
      <c r="I72" s="355"/>
      <c r="J72" s="355"/>
      <c r="K72" s="547"/>
      <c r="L72" s="348"/>
    </row>
    <row r="73" spans="1:12" ht="15.75">
      <c r="A73" s="359">
        <v>3</v>
      </c>
      <c r="B73" s="359" t="s">
        <v>492</v>
      </c>
      <c r="C73" s="355">
        <v>12000</v>
      </c>
      <c r="D73" s="355"/>
      <c r="E73" s="355"/>
      <c r="F73" s="355">
        <v>5500</v>
      </c>
      <c r="G73" s="355">
        <v>6500</v>
      </c>
      <c r="H73" s="355"/>
      <c r="I73" s="355"/>
      <c r="J73" s="355">
        <f>SUM(D73:I73)</f>
        <v>12000</v>
      </c>
      <c r="K73" s="547"/>
      <c r="L73" s="348">
        <f>+C73-J73</f>
        <v>0</v>
      </c>
    </row>
    <row r="74" spans="1:12" ht="15.75">
      <c r="A74" s="366"/>
      <c r="B74" s="536">
        <v>4210</v>
      </c>
      <c r="C74" s="355"/>
      <c r="D74" s="355"/>
      <c r="E74" s="355"/>
      <c r="F74" s="355"/>
      <c r="G74" s="355">
        <v>3000</v>
      </c>
      <c r="H74" s="355"/>
      <c r="I74" s="355"/>
      <c r="J74" s="355"/>
      <c r="K74" s="547"/>
      <c r="L74" s="348"/>
    </row>
    <row r="75" spans="1:12" ht="15.75">
      <c r="A75" s="366"/>
      <c r="B75" s="536">
        <v>4260</v>
      </c>
      <c r="C75" s="355"/>
      <c r="D75" s="355"/>
      <c r="E75" s="355"/>
      <c r="F75" s="355"/>
      <c r="G75" s="355">
        <v>2500</v>
      </c>
      <c r="H75" s="355"/>
      <c r="I75" s="355"/>
      <c r="J75" s="355"/>
      <c r="K75" s="547"/>
      <c r="L75" s="348"/>
    </row>
    <row r="76" spans="1:12" ht="15.75">
      <c r="A76" s="524"/>
      <c r="B76" s="365">
        <v>4300</v>
      </c>
      <c r="C76" s="355"/>
      <c r="D76" s="355"/>
      <c r="E76" s="355"/>
      <c r="F76" s="355">
        <v>5500</v>
      </c>
      <c r="G76" s="355">
        <v>1000</v>
      </c>
      <c r="H76" s="355"/>
      <c r="I76" s="355"/>
      <c r="J76" s="355"/>
      <c r="K76" s="547"/>
      <c r="L76" s="348"/>
    </row>
    <row r="77" spans="1:12" ht="15.75">
      <c r="A77" s="359">
        <v>4</v>
      </c>
      <c r="B77" s="359" t="s">
        <v>493</v>
      </c>
      <c r="C77" s="355">
        <v>9700</v>
      </c>
      <c r="D77" s="355"/>
      <c r="E77" s="355"/>
      <c r="F77" s="355">
        <v>2200</v>
      </c>
      <c r="G77" s="355">
        <v>7500</v>
      </c>
      <c r="H77" s="355"/>
      <c r="I77" s="355"/>
      <c r="J77" s="355">
        <f>SUM(D77:I77)</f>
        <v>9700</v>
      </c>
      <c r="K77" s="547"/>
      <c r="L77" s="348">
        <f>+C77-J77</f>
        <v>0</v>
      </c>
    </row>
    <row r="78" spans="1:12" ht="15.75">
      <c r="A78" s="366"/>
      <c r="B78" s="536">
        <v>4210</v>
      </c>
      <c r="C78" s="355"/>
      <c r="D78" s="355"/>
      <c r="E78" s="355"/>
      <c r="F78" s="355">
        <v>700</v>
      </c>
      <c r="G78" s="355">
        <v>300</v>
      </c>
      <c r="H78" s="355"/>
      <c r="I78" s="355"/>
      <c r="J78" s="355"/>
      <c r="K78" s="547"/>
      <c r="L78" s="348"/>
    </row>
    <row r="79" spans="1:12" ht="15.75">
      <c r="A79" s="366"/>
      <c r="B79" s="536">
        <v>4260</v>
      </c>
      <c r="C79" s="355"/>
      <c r="D79" s="355"/>
      <c r="E79" s="355"/>
      <c r="F79" s="355"/>
      <c r="G79" s="355">
        <v>3000</v>
      </c>
      <c r="H79" s="355"/>
      <c r="I79" s="355"/>
      <c r="J79" s="355"/>
      <c r="K79" s="547"/>
      <c r="L79" s="348"/>
    </row>
    <row r="80" spans="1:12" ht="15.75">
      <c r="A80" s="366"/>
      <c r="B80" s="536">
        <v>4270</v>
      </c>
      <c r="C80" s="355"/>
      <c r="D80" s="355"/>
      <c r="E80" s="355"/>
      <c r="F80" s="355"/>
      <c r="G80" s="355">
        <v>3200</v>
      </c>
      <c r="H80" s="355"/>
      <c r="I80" s="355"/>
      <c r="J80" s="355"/>
      <c r="K80" s="547"/>
      <c r="L80" s="348"/>
    </row>
    <row r="81" spans="1:12" ht="15.75">
      <c r="A81" s="524"/>
      <c r="B81" s="365">
        <v>4300</v>
      </c>
      <c r="C81" s="355"/>
      <c r="D81" s="355"/>
      <c r="E81" s="355"/>
      <c r="F81" s="355">
        <v>1500</v>
      </c>
      <c r="G81" s="355">
        <v>1000</v>
      </c>
      <c r="H81" s="355"/>
      <c r="I81" s="355"/>
      <c r="J81" s="355"/>
      <c r="K81" s="547"/>
      <c r="L81" s="348"/>
    </row>
    <row r="82" spans="1:12" ht="15.75">
      <c r="A82" s="359">
        <v>5</v>
      </c>
      <c r="B82" s="359" t="s">
        <v>494</v>
      </c>
      <c r="C82" s="355">
        <v>12300</v>
      </c>
      <c r="D82" s="355"/>
      <c r="E82" s="355"/>
      <c r="F82" s="355">
        <v>1500</v>
      </c>
      <c r="G82" s="355">
        <v>2800</v>
      </c>
      <c r="H82" s="355">
        <v>8000</v>
      </c>
      <c r="I82" s="355"/>
      <c r="J82" s="355">
        <f>SUM(D82:I82)</f>
        <v>12300</v>
      </c>
      <c r="K82" s="547"/>
      <c r="L82" s="348">
        <f>+C82-J82</f>
        <v>0</v>
      </c>
    </row>
    <row r="83" spans="1:12" ht="15.75">
      <c r="A83" s="366"/>
      <c r="B83" s="536">
        <v>4210</v>
      </c>
      <c r="C83" s="355"/>
      <c r="D83" s="355"/>
      <c r="E83" s="355"/>
      <c r="F83" s="355">
        <v>1500</v>
      </c>
      <c r="G83" s="355"/>
      <c r="H83" s="355"/>
      <c r="I83" s="355"/>
      <c r="J83" s="355"/>
      <c r="K83" s="547"/>
      <c r="L83" s="348"/>
    </row>
    <row r="84" spans="1:12" ht="15.75">
      <c r="A84" s="366"/>
      <c r="B84" s="536">
        <v>4260</v>
      </c>
      <c r="C84" s="355"/>
      <c r="D84" s="355"/>
      <c r="E84" s="355"/>
      <c r="F84" s="355"/>
      <c r="G84" s="355">
        <v>2500</v>
      </c>
      <c r="H84" s="355"/>
      <c r="I84" s="355"/>
      <c r="J84" s="355"/>
      <c r="K84" s="547"/>
      <c r="L84" s="348"/>
    </row>
    <row r="85" spans="1:12" ht="15.75">
      <c r="A85" s="366"/>
      <c r="B85" s="536">
        <v>4300</v>
      </c>
      <c r="C85" s="355"/>
      <c r="D85" s="355"/>
      <c r="E85" s="355"/>
      <c r="F85" s="355"/>
      <c r="G85" s="355">
        <v>300</v>
      </c>
      <c r="H85" s="355"/>
      <c r="I85" s="355"/>
      <c r="J85" s="355"/>
      <c r="K85" s="547"/>
      <c r="L85" s="348"/>
    </row>
    <row r="86" spans="1:12" ht="15.75">
      <c r="A86" s="524"/>
      <c r="B86" s="365">
        <v>6050</v>
      </c>
      <c r="C86" s="355"/>
      <c r="D86" s="355"/>
      <c r="E86" s="355"/>
      <c r="F86" s="355"/>
      <c r="G86" s="355">
        <v>300</v>
      </c>
      <c r="H86" s="355">
        <v>8000</v>
      </c>
      <c r="I86" s="355"/>
      <c r="J86" s="355"/>
      <c r="K86" s="547"/>
      <c r="L86" s="348"/>
    </row>
    <row r="87" spans="1:12" ht="15.75">
      <c r="A87" s="359">
        <v>6</v>
      </c>
      <c r="B87" s="359" t="s">
        <v>495</v>
      </c>
      <c r="C87" s="355">
        <v>10600</v>
      </c>
      <c r="D87" s="355"/>
      <c r="E87" s="355"/>
      <c r="F87" s="355"/>
      <c r="G87" s="355">
        <v>6600</v>
      </c>
      <c r="H87" s="355">
        <v>4000</v>
      </c>
      <c r="I87" s="355"/>
      <c r="J87" s="355">
        <f>SUM(D87:I87)</f>
        <v>10600</v>
      </c>
      <c r="K87" s="547"/>
      <c r="L87" s="348">
        <f>+C87-J87</f>
        <v>0</v>
      </c>
    </row>
    <row r="88" spans="1:12" ht="15.75">
      <c r="A88" s="366"/>
      <c r="B88" s="536">
        <v>4270</v>
      </c>
      <c r="C88" s="355"/>
      <c r="D88" s="355"/>
      <c r="E88" s="355"/>
      <c r="F88" s="355"/>
      <c r="G88" s="355">
        <v>4500</v>
      </c>
      <c r="H88" s="355"/>
      <c r="I88" s="355"/>
      <c r="J88" s="355"/>
      <c r="K88" s="547"/>
      <c r="L88" s="348"/>
    </row>
    <row r="89" spans="1:12" ht="15.75">
      <c r="A89" s="366"/>
      <c r="B89" s="536">
        <v>4260</v>
      </c>
      <c r="C89" s="355"/>
      <c r="D89" s="355"/>
      <c r="E89" s="355"/>
      <c r="F89" s="355"/>
      <c r="G89" s="355">
        <v>2000</v>
      </c>
      <c r="H89" s="355"/>
      <c r="I89" s="355"/>
      <c r="J89" s="355"/>
      <c r="K89" s="547"/>
      <c r="L89" s="348"/>
    </row>
    <row r="90" spans="1:12" ht="15.75">
      <c r="A90" s="366"/>
      <c r="B90" s="536">
        <v>4300</v>
      </c>
      <c r="C90" s="355"/>
      <c r="D90" s="355"/>
      <c r="E90" s="355"/>
      <c r="F90" s="355"/>
      <c r="G90" s="355">
        <v>100</v>
      </c>
      <c r="H90" s="355"/>
      <c r="I90" s="355"/>
      <c r="J90" s="355"/>
      <c r="K90" s="547"/>
      <c r="L90" s="348"/>
    </row>
    <row r="91" spans="1:12" ht="15.75">
      <c r="A91" s="366"/>
      <c r="B91" s="365">
        <v>6050</v>
      </c>
      <c r="C91" s="355"/>
      <c r="D91" s="355"/>
      <c r="E91" s="355"/>
      <c r="F91" s="355"/>
      <c r="G91" s="355"/>
      <c r="H91" s="355">
        <v>4000</v>
      </c>
      <c r="I91" s="355"/>
      <c r="J91" s="355"/>
      <c r="K91" s="547"/>
      <c r="L91" s="348"/>
    </row>
    <row r="92" spans="1:12" ht="15.75">
      <c r="A92" s="359">
        <v>7</v>
      </c>
      <c r="B92" s="359" t="s">
        <v>496</v>
      </c>
      <c r="C92" s="355">
        <v>10500</v>
      </c>
      <c r="D92" s="355"/>
      <c r="E92" s="355"/>
      <c r="F92" s="355"/>
      <c r="G92" s="355">
        <v>10500</v>
      </c>
      <c r="H92" s="355"/>
      <c r="I92" s="355"/>
      <c r="J92" s="355">
        <f>SUM(D92:I92)</f>
        <v>10500</v>
      </c>
      <c r="K92" s="547"/>
      <c r="L92" s="348">
        <f>+C92-J92</f>
        <v>0</v>
      </c>
    </row>
    <row r="93" spans="1:12" ht="15.75">
      <c r="A93" s="366"/>
      <c r="B93" s="536">
        <v>4210</v>
      </c>
      <c r="C93" s="355"/>
      <c r="D93" s="355"/>
      <c r="E93" s="355"/>
      <c r="F93" s="355"/>
      <c r="G93" s="355">
        <v>5000</v>
      </c>
      <c r="H93" s="355"/>
      <c r="I93" s="355"/>
      <c r="J93" s="355"/>
      <c r="K93" s="547"/>
      <c r="L93" s="348"/>
    </row>
    <row r="94" spans="1:12" ht="15.75">
      <c r="A94" s="366"/>
      <c r="B94" s="536">
        <v>4260</v>
      </c>
      <c r="C94" s="355"/>
      <c r="D94" s="355"/>
      <c r="E94" s="355"/>
      <c r="F94" s="355"/>
      <c r="G94" s="355">
        <v>5000</v>
      </c>
      <c r="H94" s="355"/>
      <c r="I94" s="355"/>
      <c r="J94" s="355"/>
      <c r="K94" s="547"/>
      <c r="L94" s="348"/>
    </row>
    <row r="95" spans="1:12" ht="15.75">
      <c r="A95" s="524"/>
      <c r="B95" s="365">
        <v>4300</v>
      </c>
      <c r="C95" s="355"/>
      <c r="D95" s="355"/>
      <c r="E95" s="355"/>
      <c r="F95" s="355"/>
      <c r="G95" s="355">
        <v>500</v>
      </c>
      <c r="H95" s="355"/>
      <c r="I95" s="355"/>
      <c r="J95" s="355"/>
      <c r="K95" s="547"/>
      <c r="L95" s="348"/>
    </row>
    <row r="96" spans="1:12" ht="15.75">
      <c r="A96" s="359">
        <v>8</v>
      </c>
      <c r="B96" s="359" t="s">
        <v>497</v>
      </c>
      <c r="C96" s="355">
        <v>6800</v>
      </c>
      <c r="D96" s="355"/>
      <c r="E96" s="355"/>
      <c r="F96" s="355">
        <v>800</v>
      </c>
      <c r="G96" s="355">
        <v>6000</v>
      </c>
      <c r="H96" s="367"/>
      <c r="I96" s="355"/>
      <c r="J96" s="355">
        <f>SUM(D96:I96)</f>
        <v>6800</v>
      </c>
      <c r="K96" s="547"/>
      <c r="L96" s="348">
        <f>+C96-J96</f>
        <v>0</v>
      </c>
    </row>
    <row r="97" spans="1:12" ht="15.75">
      <c r="A97" s="366"/>
      <c r="B97" s="536">
        <v>4210</v>
      </c>
      <c r="C97" s="355"/>
      <c r="D97" s="355"/>
      <c r="E97" s="355"/>
      <c r="F97" s="355">
        <v>800</v>
      </c>
      <c r="G97" s="355">
        <v>6000</v>
      </c>
      <c r="H97" s="367"/>
      <c r="I97" s="355"/>
      <c r="J97" s="355"/>
      <c r="K97" s="547"/>
      <c r="L97" s="348"/>
    </row>
    <row r="98" spans="1:12" ht="15.75">
      <c r="A98" s="524"/>
      <c r="B98" s="365">
        <v>6050</v>
      </c>
      <c r="C98" s="355"/>
      <c r="D98" s="355"/>
      <c r="E98" s="355"/>
      <c r="F98" s="355"/>
      <c r="G98" s="355"/>
      <c r="H98" s="367"/>
      <c r="I98" s="355"/>
      <c r="J98" s="355"/>
      <c r="K98" s="547"/>
      <c r="L98" s="348"/>
    </row>
    <row r="99" spans="1:12" ht="15.75">
      <c r="A99" s="359">
        <v>9</v>
      </c>
      <c r="B99" s="359" t="s">
        <v>498</v>
      </c>
      <c r="C99" s="355">
        <v>18100</v>
      </c>
      <c r="D99" s="355"/>
      <c r="E99" s="355"/>
      <c r="F99" s="355">
        <v>5000</v>
      </c>
      <c r="G99" s="355">
        <v>6100</v>
      </c>
      <c r="H99" s="355">
        <v>7000</v>
      </c>
      <c r="I99" s="355"/>
      <c r="J99" s="355">
        <f>SUM(D99:I99)</f>
        <v>18100</v>
      </c>
      <c r="K99" s="547"/>
      <c r="L99" s="348">
        <f>+C99-J99</f>
        <v>0</v>
      </c>
    </row>
    <row r="100" spans="1:12" ht="15.75">
      <c r="A100" s="366"/>
      <c r="B100" s="536">
        <v>4210</v>
      </c>
      <c r="C100" s="355"/>
      <c r="D100" s="355"/>
      <c r="E100" s="355"/>
      <c r="F100" s="355"/>
      <c r="G100" s="355">
        <v>1100</v>
      </c>
      <c r="H100" s="355"/>
      <c r="I100" s="355"/>
      <c r="J100" s="355"/>
      <c r="K100" s="547"/>
      <c r="L100" s="348"/>
    </row>
    <row r="101" spans="1:12" ht="15.75">
      <c r="A101" s="366"/>
      <c r="B101" s="536">
        <v>4260</v>
      </c>
      <c r="C101" s="355"/>
      <c r="D101" s="355"/>
      <c r="E101" s="355"/>
      <c r="F101" s="355"/>
      <c r="G101" s="355">
        <v>4000</v>
      </c>
      <c r="H101" s="355"/>
      <c r="I101" s="355"/>
      <c r="J101" s="355"/>
      <c r="K101" s="547"/>
      <c r="L101" s="348"/>
    </row>
    <row r="102" spans="1:12" ht="15.75">
      <c r="A102" s="366"/>
      <c r="B102" s="536">
        <v>4300</v>
      </c>
      <c r="C102" s="355"/>
      <c r="D102" s="355"/>
      <c r="E102" s="355"/>
      <c r="F102" s="355">
        <v>5000</v>
      </c>
      <c r="G102" s="355">
        <v>1000</v>
      </c>
      <c r="H102" s="355"/>
      <c r="I102" s="355"/>
      <c r="J102" s="355"/>
      <c r="K102" s="547"/>
      <c r="L102" s="348"/>
    </row>
    <row r="103" spans="1:12" ht="15.75">
      <c r="A103" s="524"/>
      <c r="B103" s="365">
        <v>6050</v>
      </c>
      <c r="C103" s="355"/>
      <c r="D103" s="355"/>
      <c r="F103" s="355"/>
      <c r="G103" s="355"/>
      <c r="H103" s="355">
        <v>7000</v>
      </c>
      <c r="I103" s="355"/>
      <c r="J103" s="355"/>
      <c r="K103" s="547"/>
      <c r="L103" s="348"/>
    </row>
    <row r="104" spans="1:12" ht="15.75">
      <c r="A104" s="359">
        <v>10</v>
      </c>
      <c r="B104" s="359" t="s">
        <v>499</v>
      </c>
      <c r="C104" s="355">
        <v>6600</v>
      </c>
      <c r="D104" s="355"/>
      <c r="E104" s="355"/>
      <c r="F104" s="355"/>
      <c r="G104" s="355">
        <v>6600</v>
      </c>
      <c r="H104" s="355"/>
      <c r="I104" s="355"/>
      <c r="J104" s="355">
        <f>SUM(D104:I104)</f>
        <v>6600</v>
      </c>
      <c r="K104" s="547"/>
      <c r="L104" s="348">
        <f>+C104-J104</f>
        <v>0</v>
      </c>
    </row>
    <row r="105" spans="1:12" ht="15.75">
      <c r="A105" s="366"/>
      <c r="B105" s="536">
        <v>4270</v>
      </c>
      <c r="C105" s="355"/>
      <c r="D105" s="355"/>
      <c r="E105" s="355"/>
      <c r="F105" s="355"/>
      <c r="G105" s="355">
        <v>5500</v>
      </c>
      <c r="H105" s="355"/>
      <c r="I105" s="355"/>
      <c r="J105" s="355"/>
      <c r="K105" s="547"/>
      <c r="L105" s="348"/>
    </row>
    <row r="106" spans="1:12" ht="15.75">
      <c r="A106" s="366"/>
      <c r="B106" s="536">
        <v>4260</v>
      </c>
      <c r="C106" s="355"/>
      <c r="D106" s="355"/>
      <c r="E106" s="355"/>
      <c r="F106" s="355"/>
      <c r="G106" s="355">
        <v>1000</v>
      </c>
      <c r="H106" s="355"/>
      <c r="I106" s="355"/>
      <c r="J106" s="355"/>
      <c r="K106" s="547"/>
      <c r="L106" s="348"/>
    </row>
    <row r="107" spans="1:12" ht="15.75">
      <c r="A107" s="524"/>
      <c r="B107" s="365">
        <v>4300</v>
      </c>
      <c r="C107" s="355"/>
      <c r="D107" s="355"/>
      <c r="E107" s="355"/>
      <c r="F107" s="355"/>
      <c r="G107" s="355">
        <v>100</v>
      </c>
      <c r="H107" s="355"/>
      <c r="I107" s="355"/>
      <c r="J107" s="355"/>
      <c r="K107" s="547"/>
      <c r="L107" s="348"/>
    </row>
    <row r="108" spans="1:12" ht="15.75">
      <c r="A108" s="359">
        <v>11</v>
      </c>
      <c r="B108" s="359" t="s">
        <v>500</v>
      </c>
      <c r="C108" s="355">
        <v>21200</v>
      </c>
      <c r="D108" s="355"/>
      <c r="E108" s="355"/>
      <c r="F108" s="355">
        <v>8000</v>
      </c>
      <c r="G108" s="355">
        <v>13200</v>
      </c>
      <c r="H108" s="367"/>
      <c r="I108" s="355"/>
      <c r="J108" s="355">
        <f>SUM(D108:I108)</f>
        <v>21200</v>
      </c>
      <c r="K108" s="547"/>
      <c r="L108" s="348">
        <f>+C108-J108</f>
        <v>0</v>
      </c>
    </row>
    <row r="109" spans="1:12" ht="15.75">
      <c r="A109" s="366"/>
      <c r="B109" s="536">
        <v>4210</v>
      </c>
      <c r="C109" s="355"/>
      <c r="D109" s="355"/>
      <c r="E109" s="355"/>
      <c r="F109" s="355">
        <v>2000</v>
      </c>
      <c r="G109" s="355">
        <v>2400</v>
      </c>
      <c r="H109" s="367"/>
      <c r="I109" s="355"/>
      <c r="J109" s="355"/>
      <c r="K109" s="547"/>
      <c r="L109" s="348"/>
    </row>
    <row r="110" spans="1:12" ht="15.75">
      <c r="A110" s="366"/>
      <c r="B110" s="536">
        <v>4260</v>
      </c>
      <c r="C110" s="355"/>
      <c r="D110" s="355"/>
      <c r="E110" s="355"/>
      <c r="F110" s="355"/>
      <c r="G110" s="355">
        <v>1800</v>
      </c>
      <c r="H110" s="367"/>
      <c r="I110" s="355"/>
      <c r="J110" s="355"/>
      <c r="K110" s="547"/>
      <c r="L110" s="348"/>
    </row>
    <row r="111" spans="1:12" ht="15.75">
      <c r="A111" s="366"/>
      <c r="B111" s="536">
        <v>4270</v>
      </c>
      <c r="C111" s="355"/>
      <c r="D111" s="355"/>
      <c r="E111" s="355"/>
      <c r="F111" s="355"/>
      <c r="G111" s="355">
        <v>8000</v>
      </c>
      <c r="H111" s="367"/>
      <c r="I111" s="355"/>
      <c r="J111" s="355"/>
      <c r="K111" s="547"/>
      <c r="L111" s="348"/>
    </row>
    <row r="112" spans="1:12" ht="15.75">
      <c r="A112" s="524"/>
      <c r="B112" s="365">
        <v>4300</v>
      </c>
      <c r="C112" s="355"/>
      <c r="D112" s="355"/>
      <c r="E112" s="355"/>
      <c r="F112" s="355">
        <v>6000</v>
      </c>
      <c r="G112" s="355">
        <v>1000</v>
      </c>
      <c r="H112" s="367"/>
      <c r="I112" s="355"/>
      <c r="J112" s="355"/>
      <c r="K112" s="547"/>
      <c r="L112" s="348"/>
    </row>
    <row r="113" spans="1:12" ht="15.75">
      <c r="A113" s="359">
        <v>12</v>
      </c>
      <c r="B113" s="359" t="s">
        <v>501</v>
      </c>
      <c r="C113" s="355">
        <v>21200</v>
      </c>
      <c r="D113" s="355"/>
      <c r="E113" s="355"/>
      <c r="F113" s="355">
        <f>3200+1000</f>
        <v>4200</v>
      </c>
      <c r="G113" s="355">
        <v>17000</v>
      </c>
      <c r="H113" s="355"/>
      <c r="I113" s="355"/>
      <c r="J113" s="355">
        <f>SUM(D113:I113)</f>
        <v>21200</v>
      </c>
      <c r="K113" s="547"/>
      <c r="L113" s="348">
        <f>+C113-J113</f>
        <v>0</v>
      </c>
    </row>
    <row r="114" spans="1:12" ht="15.75">
      <c r="A114" s="366"/>
      <c r="B114" s="536">
        <v>4210</v>
      </c>
      <c r="C114" s="355"/>
      <c r="D114" s="355"/>
      <c r="E114" s="355"/>
      <c r="F114" s="355">
        <v>2000</v>
      </c>
      <c r="G114" s="355">
        <v>3000</v>
      </c>
      <c r="H114" s="355"/>
      <c r="I114" s="355"/>
      <c r="J114" s="355"/>
      <c r="K114" s="547"/>
      <c r="L114" s="348"/>
    </row>
    <row r="115" spans="1:12" ht="15.75">
      <c r="A115" s="366"/>
      <c r="B115" s="536">
        <v>4260</v>
      </c>
      <c r="C115" s="355"/>
      <c r="D115" s="355"/>
      <c r="E115" s="355"/>
      <c r="F115" s="355"/>
      <c r="G115" s="355">
        <v>3000</v>
      </c>
      <c r="H115" s="355"/>
      <c r="I115" s="355"/>
      <c r="J115" s="355"/>
      <c r="K115" s="547"/>
      <c r="L115" s="348"/>
    </row>
    <row r="116" spans="1:12" ht="15.75">
      <c r="A116" s="366"/>
      <c r="B116" s="536">
        <v>4270</v>
      </c>
      <c r="C116" s="355"/>
      <c r="D116" s="355"/>
      <c r="E116" s="355"/>
      <c r="F116" s="355"/>
      <c r="G116" s="355">
        <v>10000</v>
      </c>
      <c r="H116" s="355"/>
      <c r="I116" s="355"/>
      <c r="J116" s="355"/>
      <c r="K116" s="547"/>
      <c r="L116" s="348"/>
    </row>
    <row r="117" spans="1:12" ht="15.75">
      <c r="A117" s="524"/>
      <c r="B117" s="365">
        <v>4300</v>
      </c>
      <c r="C117" s="355"/>
      <c r="D117" s="355"/>
      <c r="E117" s="355"/>
      <c r="F117" s="355">
        <v>2200</v>
      </c>
      <c r="G117" s="355">
        <v>1000</v>
      </c>
      <c r="H117" s="355"/>
      <c r="I117" s="355"/>
      <c r="J117" s="355"/>
      <c r="K117" s="547"/>
      <c r="L117" s="348"/>
    </row>
    <row r="118" spans="1:12" ht="15.75">
      <c r="A118" s="359">
        <v>13</v>
      </c>
      <c r="B118" s="359" t="s">
        <v>502</v>
      </c>
      <c r="C118" s="355">
        <v>9600</v>
      </c>
      <c r="D118" s="355"/>
      <c r="E118" s="355">
        <v>2600</v>
      </c>
      <c r="F118" s="355"/>
      <c r="G118" s="355">
        <v>7000</v>
      </c>
      <c r="H118" s="355"/>
      <c r="I118" s="355"/>
      <c r="J118" s="355">
        <f>SUM(D118:I118)</f>
        <v>9600</v>
      </c>
      <c r="K118" s="547"/>
      <c r="L118" s="348">
        <f>+C118-J118</f>
        <v>0</v>
      </c>
    </row>
    <row r="119" spans="1:12" ht="15.75">
      <c r="A119" s="366"/>
      <c r="B119" s="536">
        <v>4210</v>
      </c>
      <c r="C119" s="355"/>
      <c r="D119" s="355"/>
      <c r="E119" s="355">
        <v>2600</v>
      </c>
      <c r="F119" s="355"/>
      <c r="G119" s="355"/>
      <c r="H119" s="355"/>
      <c r="I119" s="355"/>
      <c r="J119" s="355"/>
      <c r="K119" s="547"/>
      <c r="L119" s="348"/>
    </row>
    <row r="120" spans="1:12" ht="15.75">
      <c r="A120" s="366"/>
      <c r="B120" s="536">
        <v>4260</v>
      </c>
      <c r="C120" s="355"/>
      <c r="D120" s="355"/>
      <c r="E120" s="355"/>
      <c r="F120" s="355"/>
      <c r="G120" s="355">
        <v>1500</v>
      </c>
      <c r="H120" s="355"/>
      <c r="I120" s="355"/>
      <c r="J120" s="355"/>
      <c r="K120" s="547"/>
      <c r="L120" s="348"/>
    </row>
    <row r="121" spans="1:12" ht="15.75">
      <c r="A121" s="366"/>
      <c r="B121" s="536">
        <v>4270</v>
      </c>
      <c r="C121" s="355"/>
      <c r="D121" s="355"/>
      <c r="E121" s="355"/>
      <c r="F121" s="355"/>
      <c r="G121" s="355">
        <v>4000</v>
      </c>
      <c r="H121" s="355"/>
      <c r="I121" s="355"/>
      <c r="J121" s="355"/>
      <c r="K121" s="547"/>
      <c r="L121" s="348"/>
    </row>
    <row r="122" spans="1:12" ht="15.75">
      <c r="A122" s="524"/>
      <c r="B122" s="524">
        <v>4300</v>
      </c>
      <c r="C122" s="355"/>
      <c r="D122" s="355"/>
      <c r="E122" s="355"/>
      <c r="F122" s="355"/>
      <c r="G122" s="355">
        <v>1500</v>
      </c>
      <c r="H122" s="355"/>
      <c r="I122" s="355"/>
      <c r="J122" s="355"/>
      <c r="K122" s="547"/>
      <c r="L122" s="348"/>
    </row>
    <row r="123" spans="1:12" ht="15.75">
      <c r="A123" s="359">
        <v>14</v>
      </c>
      <c r="B123" s="359" t="s">
        <v>503</v>
      </c>
      <c r="C123" s="542">
        <v>13700</v>
      </c>
      <c r="D123" s="355"/>
      <c r="E123" s="355"/>
      <c r="F123" s="355">
        <v>4800</v>
      </c>
      <c r="G123" s="355">
        <v>1000</v>
      </c>
      <c r="H123" s="355">
        <v>7900</v>
      </c>
      <c r="I123" s="355"/>
      <c r="J123" s="355">
        <f>SUM(D123:I123)</f>
        <v>13700</v>
      </c>
      <c r="K123" s="547"/>
      <c r="L123" s="348">
        <f>+C123-J123</f>
        <v>0</v>
      </c>
    </row>
    <row r="124" spans="1:12" ht="15.75">
      <c r="A124" s="366"/>
      <c r="B124" s="536">
        <v>4210</v>
      </c>
      <c r="C124" s="355"/>
      <c r="D124" s="355"/>
      <c r="E124" s="355"/>
      <c r="F124" s="355">
        <v>2000</v>
      </c>
      <c r="G124" s="355"/>
      <c r="H124" s="355"/>
      <c r="I124" s="355"/>
      <c r="J124" s="355"/>
      <c r="K124" s="547"/>
      <c r="L124" s="348"/>
    </row>
    <row r="125" spans="1:12" ht="15.75">
      <c r="A125" s="366"/>
      <c r="B125" s="536">
        <v>4260</v>
      </c>
      <c r="C125" s="355"/>
      <c r="D125" s="355"/>
      <c r="E125" s="355"/>
      <c r="F125" s="355"/>
      <c r="G125" s="355">
        <v>1000</v>
      </c>
      <c r="H125" s="355"/>
      <c r="I125" s="355"/>
      <c r="J125" s="355"/>
      <c r="K125" s="547"/>
      <c r="L125" s="348"/>
    </row>
    <row r="126" spans="1:12" ht="15.75">
      <c r="A126" s="366"/>
      <c r="B126" s="536">
        <v>4300</v>
      </c>
      <c r="C126" s="355"/>
      <c r="D126" s="355"/>
      <c r="E126" s="355"/>
      <c r="F126" s="355">
        <v>2800</v>
      </c>
      <c r="G126" s="355"/>
      <c r="H126" s="355"/>
      <c r="I126" s="355"/>
      <c r="J126" s="355"/>
      <c r="K126" s="547"/>
      <c r="L126" s="348"/>
    </row>
    <row r="127" spans="1:12" ht="15.75">
      <c r="A127" s="524"/>
      <c r="B127" s="365">
        <v>6050</v>
      </c>
      <c r="C127" s="355"/>
      <c r="D127" s="355"/>
      <c r="E127" s="355"/>
      <c r="G127" s="355"/>
      <c r="H127" s="355">
        <v>7900</v>
      </c>
      <c r="I127" s="355"/>
      <c r="J127" s="355"/>
      <c r="K127" s="547"/>
      <c r="L127" s="348"/>
    </row>
    <row r="128" spans="1:12" ht="15.75">
      <c r="A128" s="359">
        <v>15</v>
      </c>
      <c r="B128" s="359" t="s">
        <v>504</v>
      </c>
      <c r="C128" s="355">
        <v>21200</v>
      </c>
      <c r="D128" s="355"/>
      <c r="E128" s="355"/>
      <c r="F128" s="355"/>
      <c r="G128" s="355">
        <v>21200</v>
      </c>
      <c r="H128" s="355"/>
      <c r="I128" s="355"/>
      <c r="J128" s="355">
        <f>SUM(D128:I128)</f>
        <v>21200</v>
      </c>
      <c r="K128" s="547"/>
      <c r="L128" s="348">
        <f>+C128-J128</f>
        <v>0</v>
      </c>
    </row>
    <row r="129" spans="1:12" ht="15.75">
      <c r="A129" s="366"/>
      <c r="B129" s="536">
        <v>4210</v>
      </c>
      <c r="C129" s="355"/>
      <c r="D129" s="355"/>
      <c r="E129" s="355"/>
      <c r="F129" s="355"/>
      <c r="G129" s="355">
        <v>3500</v>
      </c>
      <c r="H129" s="355"/>
      <c r="I129" s="355"/>
      <c r="J129" s="355"/>
      <c r="K129" s="547"/>
      <c r="L129" s="348"/>
    </row>
    <row r="130" spans="1:12" ht="15.75">
      <c r="A130" s="366"/>
      <c r="B130" s="536">
        <v>4260</v>
      </c>
      <c r="C130" s="355"/>
      <c r="D130" s="355"/>
      <c r="E130" s="355"/>
      <c r="F130" s="355"/>
      <c r="G130" s="355">
        <v>500</v>
      </c>
      <c r="H130" s="355"/>
      <c r="I130" s="355"/>
      <c r="J130" s="355"/>
      <c r="K130" s="547"/>
      <c r="L130" s="348"/>
    </row>
    <row r="131" spans="1:12" ht="15.75">
      <c r="A131" s="366"/>
      <c r="B131" s="536">
        <v>4300</v>
      </c>
      <c r="C131" s="355"/>
      <c r="D131" s="355"/>
      <c r="E131" s="355"/>
      <c r="F131" s="355"/>
      <c r="G131" s="355">
        <v>2200</v>
      </c>
      <c r="H131" s="355"/>
      <c r="I131" s="355"/>
      <c r="J131" s="355"/>
      <c r="K131" s="547"/>
      <c r="L131" s="348"/>
    </row>
    <row r="132" spans="1:12" ht="15.75">
      <c r="A132" s="524"/>
      <c r="B132" s="365">
        <v>4270</v>
      </c>
      <c r="C132" s="355"/>
      <c r="D132" s="355"/>
      <c r="E132" s="355"/>
      <c r="F132" s="355"/>
      <c r="G132" s="355">
        <v>15000</v>
      </c>
      <c r="H132" s="355"/>
      <c r="I132" s="355"/>
      <c r="J132" s="355"/>
      <c r="K132" s="547"/>
      <c r="L132" s="348"/>
    </row>
    <row r="133" spans="1:12" ht="15.75">
      <c r="A133" s="353"/>
      <c r="B133" s="356" t="s">
        <v>505</v>
      </c>
      <c r="C133" s="357">
        <f aca="true" t="shared" si="0" ref="C133:J133">+C66+C71+C73+C77+C82+C87+C92+C96+C99+C104+C108+C113+C118+C123+C128</f>
        <v>191000</v>
      </c>
      <c r="D133" s="357">
        <f t="shared" si="0"/>
        <v>6200</v>
      </c>
      <c r="E133" s="357">
        <f t="shared" si="0"/>
        <v>2600</v>
      </c>
      <c r="F133" s="357">
        <f t="shared" si="0"/>
        <v>32000</v>
      </c>
      <c r="G133" s="357">
        <f t="shared" si="0"/>
        <v>118300</v>
      </c>
      <c r="H133" s="357">
        <f t="shared" si="0"/>
        <v>26900</v>
      </c>
      <c r="I133" s="357">
        <f t="shared" si="0"/>
        <v>5000</v>
      </c>
      <c r="J133" s="357">
        <f t="shared" si="0"/>
        <v>191000</v>
      </c>
      <c r="K133" s="546"/>
      <c r="L133" s="349">
        <f>+C133-J133</f>
        <v>0</v>
      </c>
    </row>
    <row r="135" ht="15.75">
      <c r="I135" s="530"/>
    </row>
  </sheetData>
  <mergeCells count="19">
    <mergeCell ref="D8:H8"/>
    <mergeCell ref="D9:H9"/>
    <mergeCell ref="D11:H11"/>
    <mergeCell ref="D10:H10"/>
    <mergeCell ref="L26:L27"/>
    <mergeCell ref="A50:C50"/>
    <mergeCell ref="D64:G64"/>
    <mergeCell ref="H64:I64"/>
    <mergeCell ref="D63:I63"/>
    <mergeCell ref="K6:P7"/>
    <mergeCell ref="N11:O11"/>
    <mergeCell ref="M40:O40"/>
    <mergeCell ref="L16:L17"/>
    <mergeCell ref="L30:L31"/>
    <mergeCell ref="L32:L33"/>
    <mergeCell ref="L36:L37"/>
    <mergeCell ref="L14:L15"/>
    <mergeCell ref="L18:L19"/>
    <mergeCell ref="L24:L25"/>
  </mergeCells>
  <printOptions horizontalCentered="1"/>
  <pageMargins left="0.31496062992125984" right="0.3937007874015748" top="0.4724409448818898" bottom="0.3937007874015748" header="0.2755905511811024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view="pageBreakPreview" zoomScale="90" zoomScaleSheetLayoutView="90" workbookViewId="0" topLeftCell="A1">
      <selection activeCell="H7" sqref="H7"/>
    </sheetView>
  </sheetViews>
  <sheetFormatPr defaultColWidth="9.00390625" defaultRowHeight="12.75" outlineLevelRow="1" outlineLevelCol="1"/>
  <cols>
    <col min="1" max="1" width="6.25390625" style="0" customWidth="1"/>
    <col min="2" max="2" width="41.75390625" style="0" customWidth="1"/>
    <col min="3" max="4" width="16.875" style="0" hidden="1" customWidth="1" outlineLevel="1"/>
    <col min="5" max="7" width="15.75390625" style="0" hidden="1" customWidth="1" outlineLevel="1"/>
    <col min="8" max="8" width="15.75390625" style="0" customWidth="1" collapsed="1"/>
    <col min="9" max="10" width="15.75390625" style="0" customWidth="1"/>
    <col min="11" max="12" width="16.25390625" style="0" customWidth="1"/>
    <col min="13" max="14" width="15.75390625" style="0" customWidth="1"/>
    <col min="15" max="15" width="16.125" style="0" customWidth="1"/>
    <col min="16" max="16" width="13.75390625" style="0" customWidth="1"/>
  </cols>
  <sheetData>
    <row r="1" ht="12.75">
      <c r="L1" t="s">
        <v>615</v>
      </c>
    </row>
    <row r="2" ht="12.75">
      <c r="L2" t="s">
        <v>654</v>
      </c>
    </row>
    <row r="3" ht="12.75">
      <c r="L3" t="s">
        <v>130</v>
      </c>
    </row>
    <row r="4" ht="12.75">
      <c r="L4" t="s">
        <v>655</v>
      </c>
    </row>
    <row r="5" spans="1:15" ht="18">
      <c r="A5" s="913" t="s">
        <v>475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81"/>
      <c r="M5" s="81"/>
      <c r="N5" s="81"/>
      <c r="O5" s="6"/>
    </row>
    <row r="6" spans="1:15" ht="9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6"/>
    </row>
    <row r="7" spans="1:15" ht="15">
      <c r="A7" s="83"/>
      <c r="B7" s="83"/>
      <c r="C7" s="83"/>
      <c r="D7" s="83"/>
      <c r="E7" s="134"/>
      <c r="F7" s="134"/>
      <c r="G7" s="83"/>
      <c r="H7" s="83"/>
      <c r="I7" s="83"/>
      <c r="J7" s="83"/>
      <c r="L7" s="84"/>
      <c r="M7" s="84" t="s">
        <v>29</v>
      </c>
      <c r="N7" s="84"/>
      <c r="O7" s="41"/>
    </row>
    <row r="8" spans="1:16" s="37" customFormat="1" ht="35.25" customHeight="1">
      <c r="A8" s="914" t="s">
        <v>32</v>
      </c>
      <c r="B8" s="914" t="s">
        <v>2</v>
      </c>
      <c r="C8" s="915" t="s">
        <v>74</v>
      </c>
      <c r="D8" s="915" t="s">
        <v>390</v>
      </c>
      <c r="G8" s="915" t="s">
        <v>420</v>
      </c>
      <c r="H8" s="915" t="s">
        <v>476</v>
      </c>
      <c r="I8" s="918" t="s">
        <v>65</v>
      </c>
      <c r="J8" s="919"/>
      <c r="K8" s="919"/>
      <c r="L8" s="919"/>
      <c r="M8" s="919"/>
      <c r="N8" s="920"/>
      <c r="O8" s="94"/>
      <c r="P8" s="96"/>
    </row>
    <row r="9" spans="1:16" s="37" customFormat="1" ht="23.25" customHeight="1">
      <c r="A9" s="914"/>
      <c r="B9" s="914"/>
      <c r="C9" s="916"/>
      <c r="D9" s="916"/>
      <c r="E9" s="85">
        <v>2007</v>
      </c>
      <c r="F9" s="85">
        <v>2008</v>
      </c>
      <c r="G9" s="917"/>
      <c r="H9" s="917"/>
      <c r="I9" s="320">
        <v>2010</v>
      </c>
      <c r="J9" s="85">
        <v>2011</v>
      </c>
      <c r="K9" s="85">
        <v>2012</v>
      </c>
      <c r="L9" s="85">
        <v>2013</v>
      </c>
      <c r="M9" s="85">
        <v>2014</v>
      </c>
      <c r="N9" s="86">
        <v>2015</v>
      </c>
      <c r="O9" s="95"/>
      <c r="P9" s="96"/>
    </row>
    <row r="10" spans="1:16" s="37" customFormat="1" ht="28.5" customHeight="1">
      <c r="A10" s="87" t="s">
        <v>14</v>
      </c>
      <c r="B10" s="88" t="s">
        <v>348</v>
      </c>
      <c r="C10" s="89">
        <v>3970000</v>
      </c>
      <c r="D10" s="217">
        <f>+D11+D15</f>
        <v>9175000</v>
      </c>
      <c r="E10" s="217">
        <f>+E11+E15</f>
        <v>9175000</v>
      </c>
      <c r="F10" s="217">
        <f>+F11+F15</f>
        <v>11325000</v>
      </c>
      <c r="G10" s="301">
        <f aca="true" t="shared" si="0" ref="G10:N10">+G11+G15</f>
        <v>11325000</v>
      </c>
      <c r="H10" s="301">
        <f t="shared" si="0"/>
        <v>10605000</v>
      </c>
      <c r="I10" s="301">
        <f t="shared" si="0"/>
        <v>13573000</v>
      </c>
      <c r="J10" s="301">
        <f t="shared" si="0"/>
        <v>9924000</v>
      </c>
      <c r="K10" s="301">
        <f t="shared" si="0"/>
        <v>6275000</v>
      </c>
      <c r="L10" s="301">
        <f t="shared" si="0"/>
        <v>3250000</v>
      </c>
      <c r="M10" s="301">
        <f t="shared" si="0"/>
        <v>1625000</v>
      </c>
      <c r="N10" s="301">
        <f t="shared" si="0"/>
        <v>0</v>
      </c>
      <c r="O10" s="82"/>
      <c r="P10" s="96"/>
    </row>
    <row r="11" spans="1:15" s="36" customFormat="1" ht="31.5" customHeight="1">
      <c r="A11" s="87" t="s">
        <v>56</v>
      </c>
      <c r="B11" s="220" t="s">
        <v>111</v>
      </c>
      <c r="C11" s="90">
        <v>3970000</v>
      </c>
      <c r="D11" s="218">
        <f>SUM(D12:D14)</f>
        <v>9175000</v>
      </c>
      <c r="E11" s="218">
        <f>SUM(E12:E14)</f>
        <v>2425000</v>
      </c>
      <c r="F11" s="218">
        <f>SUM(F12:F14)</f>
        <v>6325000</v>
      </c>
      <c r="G11" s="300">
        <f aca="true" t="shared" si="1" ref="G11:N11">SUM(G12:G14)</f>
        <v>6325000</v>
      </c>
      <c r="H11" s="300">
        <f t="shared" si="1"/>
        <v>8725000</v>
      </c>
      <c r="I11" s="300">
        <f t="shared" si="1"/>
        <v>7373000</v>
      </c>
      <c r="J11" s="300">
        <f t="shared" si="1"/>
        <v>9924000</v>
      </c>
      <c r="K11" s="300">
        <f t="shared" si="1"/>
        <v>6275000</v>
      </c>
      <c r="L11" s="300">
        <f t="shared" si="1"/>
        <v>3250000</v>
      </c>
      <c r="M11" s="300">
        <f t="shared" si="1"/>
        <v>1625000</v>
      </c>
      <c r="N11" s="300">
        <f t="shared" si="1"/>
        <v>0</v>
      </c>
      <c r="O11" s="73"/>
    </row>
    <row r="12" spans="1:15" s="36" customFormat="1" ht="15" customHeight="1">
      <c r="A12" s="92" t="s">
        <v>94</v>
      </c>
      <c r="B12" s="221" t="s">
        <v>66</v>
      </c>
      <c r="C12" s="90">
        <v>320000</v>
      </c>
      <c r="D12" s="218">
        <v>0</v>
      </c>
      <c r="E12" s="218">
        <v>0</v>
      </c>
      <c r="F12" s="218"/>
      <c r="G12" s="300"/>
      <c r="H12" s="300"/>
      <c r="I12" s="300">
        <f>+H16-I31</f>
        <v>1248000</v>
      </c>
      <c r="J12" s="300">
        <f>+I12+I16-J31-J30</f>
        <v>1424000</v>
      </c>
      <c r="K12" s="300">
        <f>+J12-K30-K31</f>
        <v>400000</v>
      </c>
      <c r="L12" s="300">
        <f>+K12-L30-L31</f>
        <v>0</v>
      </c>
      <c r="M12" s="300">
        <f>+L12-M30-M31</f>
        <v>0</v>
      </c>
      <c r="N12" s="300">
        <f>+M12-N30-N31</f>
        <v>0</v>
      </c>
      <c r="O12" s="73">
        <f>SUM(I12:N12)</f>
        <v>3072000</v>
      </c>
    </row>
    <row r="13" spans="1:15" s="36" customFormat="1" ht="15" customHeight="1">
      <c r="A13" s="92" t="s">
        <v>95</v>
      </c>
      <c r="B13" s="221" t="s">
        <v>67</v>
      </c>
      <c r="C13" s="90">
        <v>2400000</v>
      </c>
      <c r="D13" s="218">
        <f>1800000+3000000</f>
        <v>4800000</v>
      </c>
      <c r="E13" s="218">
        <v>1800000</v>
      </c>
      <c r="F13" s="218">
        <f>1200000+2000000</f>
        <v>3200000</v>
      </c>
      <c r="G13" s="300">
        <f>1200000+2000000</f>
        <v>3200000</v>
      </c>
      <c r="H13" s="300">
        <f>600000+1000000+4000000</f>
        <v>5600000</v>
      </c>
      <c r="I13" s="300">
        <f>3000000</f>
        <v>3000000</v>
      </c>
      <c r="J13" s="300">
        <f>+I13+I17-J28-J29</f>
        <v>6000000</v>
      </c>
      <c r="K13" s="300">
        <f>+J13+J17-K28-K29</f>
        <v>4000000</v>
      </c>
      <c r="L13" s="300">
        <f>+K13+K17-L28-L29</f>
        <v>2000000</v>
      </c>
      <c r="M13" s="300">
        <f>+L13+L17-M28-M29</f>
        <v>1000000</v>
      </c>
      <c r="N13" s="300">
        <f>+M13+M17-N28-N29</f>
        <v>0</v>
      </c>
      <c r="O13" s="73">
        <f>SUM(I13:N13)</f>
        <v>16000000</v>
      </c>
    </row>
    <row r="14" spans="1:15" s="36" customFormat="1" ht="18.75" customHeight="1">
      <c r="A14" s="92" t="s">
        <v>96</v>
      </c>
      <c r="B14" s="221" t="s">
        <v>68</v>
      </c>
      <c r="C14" s="90">
        <v>1250000</v>
      </c>
      <c r="D14" s="218">
        <f>625000+3750000</f>
        <v>4375000</v>
      </c>
      <c r="E14" s="218">
        <v>625000</v>
      </c>
      <c r="F14" s="218">
        <v>3125000</v>
      </c>
      <c r="G14" s="300">
        <v>3125000</v>
      </c>
      <c r="H14" s="300">
        <v>3125000</v>
      </c>
      <c r="I14" s="300">
        <v>3125000</v>
      </c>
      <c r="J14" s="300">
        <f>+I14-J32</f>
        <v>2500000</v>
      </c>
      <c r="K14" s="300">
        <f>+J14-K32</f>
        <v>1875000</v>
      </c>
      <c r="L14" s="300">
        <f>+K14-L32</f>
        <v>1250000</v>
      </c>
      <c r="M14" s="300">
        <f>+L14-M32</f>
        <v>625000</v>
      </c>
      <c r="N14" s="300">
        <f>+M14-N32</f>
        <v>0</v>
      </c>
      <c r="O14" s="73">
        <f>SUM(I14:N14)</f>
        <v>9375000</v>
      </c>
    </row>
    <row r="15" spans="1:15" s="36" customFormat="1" ht="32.25" customHeight="1">
      <c r="A15" s="87" t="s">
        <v>58</v>
      </c>
      <c r="B15" s="220" t="s">
        <v>450</v>
      </c>
      <c r="C15" s="91">
        <v>0</v>
      </c>
      <c r="D15" s="218">
        <f>SUM(D16:D19)</f>
        <v>0</v>
      </c>
      <c r="E15" s="218">
        <f>SUM(E16:E19)</f>
        <v>6750000</v>
      </c>
      <c r="F15" s="218">
        <f>SUM(F16:F19)</f>
        <v>5000000</v>
      </c>
      <c r="G15" s="300">
        <f aca="true" t="shared" si="2" ref="G15:N15">SUM(G16:G19)</f>
        <v>5000000</v>
      </c>
      <c r="H15" s="300">
        <f t="shared" si="2"/>
        <v>1880000</v>
      </c>
      <c r="I15" s="300">
        <f t="shared" si="2"/>
        <v>6200000</v>
      </c>
      <c r="J15" s="300">
        <f t="shared" si="2"/>
        <v>0</v>
      </c>
      <c r="K15" s="300">
        <f t="shared" si="2"/>
        <v>0</v>
      </c>
      <c r="L15" s="300">
        <f t="shared" si="2"/>
        <v>0</v>
      </c>
      <c r="M15" s="300">
        <f t="shared" si="2"/>
        <v>0</v>
      </c>
      <c r="N15" s="300">
        <f t="shared" si="2"/>
        <v>0</v>
      </c>
      <c r="O15" s="73"/>
    </row>
    <row r="16" spans="1:14" s="36" customFormat="1" ht="15" customHeight="1">
      <c r="A16" s="92" t="s">
        <v>97</v>
      </c>
      <c r="B16" s="221" t="s">
        <v>69</v>
      </c>
      <c r="C16" s="91">
        <v>0</v>
      </c>
      <c r="D16" s="218"/>
      <c r="E16" s="218"/>
      <c r="F16" s="218"/>
      <c r="G16" s="300"/>
      <c r="H16" s="300">
        <v>1880000</v>
      </c>
      <c r="I16" s="300">
        <v>1200000</v>
      </c>
      <c r="J16" s="300"/>
      <c r="K16" s="300"/>
      <c r="L16" s="300"/>
      <c r="M16" s="300"/>
      <c r="N16" s="300"/>
    </row>
    <row r="17" spans="1:15" s="36" customFormat="1" ht="15" customHeight="1">
      <c r="A17" s="92" t="s">
        <v>98</v>
      </c>
      <c r="B17" s="221" t="s">
        <v>70</v>
      </c>
      <c r="C17" s="91">
        <v>0</v>
      </c>
      <c r="D17" s="218"/>
      <c r="E17" s="218">
        <v>3000000</v>
      </c>
      <c r="F17" s="218">
        <v>5000000</v>
      </c>
      <c r="G17" s="300">
        <v>5000000</v>
      </c>
      <c r="H17" s="300"/>
      <c r="I17" s="300">
        <v>5000000</v>
      </c>
      <c r="J17" s="300"/>
      <c r="K17" s="300"/>
      <c r="L17" s="300"/>
      <c r="M17" s="300"/>
      <c r="N17" s="300"/>
      <c r="O17" s="73"/>
    </row>
    <row r="18" spans="1:15" s="36" customFormat="1" ht="15" customHeight="1">
      <c r="A18" s="92"/>
      <c r="B18" s="216" t="s">
        <v>388</v>
      </c>
      <c r="C18" s="91">
        <v>0</v>
      </c>
      <c r="D18" s="218"/>
      <c r="E18" s="218"/>
      <c r="F18" s="218"/>
      <c r="G18" s="300"/>
      <c r="H18" s="300"/>
      <c r="I18" s="300"/>
      <c r="J18" s="300"/>
      <c r="K18" s="300"/>
      <c r="L18" s="300"/>
      <c r="M18" s="300"/>
      <c r="N18" s="300"/>
      <c r="O18" s="73"/>
    </row>
    <row r="19" spans="1:15" s="36" customFormat="1" ht="15" customHeight="1">
      <c r="A19" s="92" t="s">
        <v>99</v>
      </c>
      <c r="B19" s="221" t="s">
        <v>51</v>
      </c>
      <c r="C19" s="91">
        <v>0</v>
      </c>
      <c r="D19" s="218"/>
      <c r="E19" s="218">
        <v>3750000</v>
      </c>
      <c r="F19" s="218"/>
      <c r="G19" s="300"/>
      <c r="H19" s="300"/>
      <c r="I19" s="300"/>
      <c r="J19" s="300"/>
      <c r="K19" s="300"/>
      <c r="L19" s="300"/>
      <c r="M19" s="300"/>
      <c r="N19" s="300"/>
      <c r="O19" s="73"/>
    </row>
    <row r="20" spans="1:15" s="36" customFormat="1" ht="29.25" customHeight="1">
      <c r="A20" s="87" t="s">
        <v>59</v>
      </c>
      <c r="B20" s="220" t="s">
        <v>71</v>
      </c>
      <c r="C20" s="223">
        <v>0</v>
      </c>
      <c r="D20" s="217">
        <v>0</v>
      </c>
      <c r="E20" s="217">
        <v>0</v>
      </c>
      <c r="F20" s="217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/>
      <c r="M20" s="301">
        <v>0</v>
      </c>
      <c r="N20" s="301">
        <v>0</v>
      </c>
      <c r="O20" s="75"/>
    </row>
    <row r="21" spans="1:15" s="36" customFormat="1" ht="15" customHeight="1" hidden="1">
      <c r="A21" s="92" t="s">
        <v>112</v>
      </c>
      <c r="B21" s="216" t="s">
        <v>114</v>
      </c>
      <c r="C21" s="91">
        <v>0</v>
      </c>
      <c r="D21" s="218"/>
      <c r="E21" s="218"/>
      <c r="F21" s="218"/>
      <c r="G21" s="300"/>
      <c r="H21" s="300"/>
      <c r="I21" s="300"/>
      <c r="J21" s="300"/>
      <c r="K21" s="300"/>
      <c r="L21" s="300"/>
      <c r="M21" s="300"/>
      <c r="N21" s="300"/>
      <c r="O21" s="76"/>
    </row>
    <row r="22" spans="1:15" s="36" customFormat="1" ht="15" customHeight="1" hidden="1">
      <c r="A22" s="92" t="s">
        <v>113</v>
      </c>
      <c r="B22" s="216" t="s">
        <v>115</v>
      </c>
      <c r="C22" s="91">
        <v>0</v>
      </c>
      <c r="D22" s="218"/>
      <c r="E22" s="218"/>
      <c r="F22" s="218"/>
      <c r="G22" s="300"/>
      <c r="H22" s="300"/>
      <c r="I22" s="300"/>
      <c r="J22" s="300"/>
      <c r="K22" s="300"/>
      <c r="L22" s="300"/>
      <c r="M22" s="300"/>
      <c r="N22" s="300"/>
      <c r="O22" s="76"/>
    </row>
    <row r="23" spans="1:15" s="37" customFormat="1" ht="22.5" customHeight="1">
      <c r="A23" s="87">
        <v>2</v>
      </c>
      <c r="B23" s="88" t="s">
        <v>110</v>
      </c>
      <c r="C23" s="89">
        <v>1268400</v>
      </c>
      <c r="D23" s="217">
        <f>+D24+D35</f>
        <v>1942600</v>
      </c>
      <c r="E23" s="217">
        <f>+E24+E35</f>
        <v>1942600</v>
      </c>
      <c r="F23" s="217">
        <f>+F24+F35</f>
        <v>3567000</v>
      </c>
      <c r="G23" s="301">
        <f aca="true" t="shared" si="3" ref="G23:N23">+G24+G35</f>
        <v>3567000</v>
      </c>
      <c r="H23" s="301">
        <f t="shared" si="3"/>
        <v>3578000</v>
      </c>
      <c r="I23" s="301">
        <f t="shared" si="3"/>
        <v>4081800</v>
      </c>
      <c r="J23" s="301">
        <f t="shared" si="3"/>
        <v>4535680</v>
      </c>
      <c r="K23" s="301">
        <f t="shared" si="3"/>
        <v>4327840</v>
      </c>
      <c r="L23" s="301">
        <f t="shared" si="3"/>
        <v>3496000</v>
      </c>
      <c r="M23" s="301">
        <f t="shared" si="3"/>
        <v>1910000</v>
      </c>
      <c r="N23" s="301">
        <f t="shared" si="3"/>
        <v>1790000</v>
      </c>
      <c r="O23" s="74"/>
    </row>
    <row r="24" spans="1:15" s="37" customFormat="1" ht="28.5" customHeight="1">
      <c r="A24" s="87" t="s">
        <v>60</v>
      </c>
      <c r="B24" s="88" t="s">
        <v>109</v>
      </c>
      <c r="C24" s="90">
        <v>920000</v>
      </c>
      <c r="D24" s="218">
        <f>SUM(D25:D33)</f>
        <v>1545000</v>
      </c>
      <c r="E24" s="218">
        <f>SUM(E25:E33)</f>
        <v>1545000</v>
      </c>
      <c r="F24" s="218">
        <f>SUM(F25:F33)</f>
        <v>2850000</v>
      </c>
      <c r="G24" s="300">
        <f>SUM(G25:G33)</f>
        <v>2850000</v>
      </c>
      <c r="H24" s="300">
        <f>SUM(H25,H32:H33)</f>
        <v>2600000</v>
      </c>
      <c r="I24" s="300">
        <f aca="true" t="shared" si="4" ref="I24:N24">SUM(I25,I32:I33)</f>
        <v>3232000</v>
      </c>
      <c r="J24" s="300">
        <f t="shared" si="4"/>
        <v>3649000</v>
      </c>
      <c r="K24" s="300">
        <f t="shared" si="4"/>
        <v>3649000</v>
      </c>
      <c r="L24" s="300">
        <f t="shared" si="4"/>
        <v>3025000</v>
      </c>
      <c r="M24" s="300">
        <f t="shared" si="4"/>
        <v>1625000</v>
      </c>
      <c r="N24" s="300">
        <f t="shared" si="4"/>
        <v>1625000</v>
      </c>
      <c r="O24" s="74"/>
    </row>
    <row r="25" spans="1:16" s="36" customFormat="1" ht="15" customHeight="1">
      <c r="A25" s="92" t="s">
        <v>91</v>
      </c>
      <c r="B25" s="221" t="s">
        <v>102</v>
      </c>
      <c r="C25" s="90">
        <v>920000</v>
      </c>
      <c r="D25" s="218">
        <v>920000</v>
      </c>
      <c r="E25" s="218">
        <v>920000</v>
      </c>
      <c r="F25" s="218">
        <f>600000+1000000</f>
        <v>1600000</v>
      </c>
      <c r="G25" s="300">
        <f>600000+1000000</f>
        <v>1600000</v>
      </c>
      <c r="H25" s="300">
        <f aca="true" t="shared" si="5" ref="H25:N25">SUM(H26:H31)</f>
        <v>2600000</v>
      </c>
      <c r="I25" s="300">
        <f t="shared" si="5"/>
        <v>3232000</v>
      </c>
      <c r="J25" s="300">
        <f t="shared" si="5"/>
        <v>3024000</v>
      </c>
      <c r="K25" s="300">
        <f t="shared" si="5"/>
        <v>3024000</v>
      </c>
      <c r="L25" s="300">
        <f t="shared" si="5"/>
        <v>2400000</v>
      </c>
      <c r="M25" s="300">
        <f t="shared" si="5"/>
        <v>1000000</v>
      </c>
      <c r="N25" s="300">
        <f t="shared" si="5"/>
        <v>1000000</v>
      </c>
      <c r="O25" s="74">
        <f>SUM(I25:N25)</f>
        <v>13680000</v>
      </c>
      <c r="P25" s="135"/>
    </row>
    <row r="26" spans="1:16" s="36" customFormat="1" ht="15" customHeight="1" hidden="1" outlineLevel="1">
      <c r="A26" s="305"/>
      <c r="B26" s="306" t="s">
        <v>460</v>
      </c>
      <c r="C26" s="307"/>
      <c r="D26" s="308"/>
      <c r="E26" s="308"/>
      <c r="F26" s="308"/>
      <c r="G26" s="309"/>
      <c r="H26" s="309">
        <v>1000000</v>
      </c>
      <c r="I26" s="309">
        <v>1000000</v>
      </c>
      <c r="J26" s="309"/>
      <c r="K26" s="309"/>
      <c r="L26" s="309"/>
      <c r="M26" s="309"/>
      <c r="N26" s="309"/>
      <c r="O26" s="74">
        <f aca="true" t="shared" si="6" ref="O26:O32">SUM(I26:N26)</f>
        <v>1000000</v>
      </c>
      <c r="P26" s="135"/>
    </row>
    <row r="27" spans="1:16" s="36" customFormat="1" ht="15" customHeight="1" hidden="1" outlineLevel="1">
      <c r="A27" s="310"/>
      <c r="B27" s="311" t="s">
        <v>459</v>
      </c>
      <c r="C27" s="312"/>
      <c r="D27" s="313"/>
      <c r="E27" s="313"/>
      <c r="F27" s="313"/>
      <c r="G27" s="314"/>
      <c r="H27" s="314">
        <v>600000</v>
      </c>
      <c r="I27" s="314">
        <v>600000</v>
      </c>
      <c r="J27" s="314"/>
      <c r="K27" s="314"/>
      <c r="L27" s="314"/>
      <c r="M27" s="314"/>
      <c r="N27" s="314"/>
      <c r="O27" s="74">
        <f t="shared" si="6"/>
        <v>600000</v>
      </c>
      <c r="P27" s="135"/>
    </row>
    <row r="28" spans="1:16" s="36" customFormat="1" ht="15" customHeight="1" hidden="1" outlineLevel="1">
      <c r="A28" s="310"/>
      <c r="B28" s="311" t="s">
        <v>462</v>
      </c>
      <c r="C28" s="312"/>
      <c r="D28" s="313"/>
      <c r="E28" s="313"/>
      <c r="F28" s="313"/>
      <c r="G28" s="314"/>
      <c r="H28" s="314">
        <v>1000000</v>
      </c>
      <c r="I28" s="314">
        <v>1000000</v>
      </c>
      <c r="J28" s="314">
        <v>1000000</v>
      </c>
      <c r="K28" s="314">
        <v>1000000</v>
      </c>
      <c r="L28" s="314">
        <v>1000000</v>
      </c>
      <c r="M28" s="314"/>
      <c r="N28" s="314"/>
      <c r="O28" s="74">
        <f t="shared" si="6"/>
        <v>4000000</v>
      </c>
      <c r="P28" s="135"/>
    </row>
    <row r="29" spans="1:16" s="36" customFormat="1" ht="15" customHeight="1" hidden="1" outlineLevel="1">
      <c r="A29" s="310"/>
      <c r="B29" s="341" t="s">
        <v>478</v>
      </c>
      <c r="C29" s="341"/>
      <c r="D29" s="341"/>
      <c r="E29" s="341"/>
      <c r="F29" s="341"/>
      <c r="G29" s="341"/>
      <c r="H29" s="341"/>
      <c r="I29" s="341"/>
      <c r="J29" s="314">
        <f>+I17/5</f>
        <v>1000000</v>
      </c>
      <c r="K29" s="314">
        <f>+J29</f>
        <v>1000000</v>
      </c>
      <c r="L29" s="314">
        <f>+K29</f>
        <v>1000000</v>
      </c>
      <c r="M29" s="314">
        <f>+L29</f>
        <v>1000000</v>
      </c>
      <c r="N29" s="314">
        <f>+M29</f>
        <v>1000000</v>
      </c>
      <c r="O29" s="74">
        <f t="shared" si="6"/>
        <v>5000000</v>
      </c>
      <c r="P29" s="135">
        <f>SUM(O26:O29)</f>
        <v>10600000</v>
      </c>
    </row>
    <row r="30" spans="1:16" s="36" customFormat="1" ht="15" customHeight="1" hidden="1" outlineLevel="1">
      <c r="A30" s="338"/>
      <c r="B30" s="311" t="s">
        <v>477</v>
      </c>
      <c r="C30" s="312"/>
      <c r="D30" s="313"/>
      <c r="E30" s="313"/>
      <c r="F30" s="313"/>
      <c r="G30" s="314"/>
      <c r="H30" s="314"/>
      <c r="I30" s="314"/>
      <c r="J30" s="314">
        <v>400000</v>
      </c>
      <c r="K30" s="314">
        <v>400000</v>
      </c>
      <c r="L30" s="314">
        <v>400000</v>
      </c>
      <c r="M30" s="314"/>
      <c r="N30" s="314"/>
      <c r="O30" s="74">
        <f t="shared" si="6"/>
        <v>1200000</v>
      </c>
      <c r="P30" s="135"/>
    </row>
    <row r="31" spans="1:16" s="36" customFormat="1" ht="15" customHeight="1" hidden="1" outlineLevel="1">
      <c r="A31" s="315"/>
      <c r="B31" s="316" t="s">
        <v>461</v>
      </c>
      <c r="C31" s="317"/>
      <c r="D31" s="318"/>
      <c r="E31" s="318"/>
      <c r="F31" s="318"/>
      <c r="G31" s="319"/>
      <c r="H31" s="319"/>
      <c r="I31" s="319">
        <f>400000+64000+56000*3</f>
        <v>632000</v>
      </c>
      <c r="J31" s="319">
        <f>400000+56000*4</f>
        <v>624000</v>
      </c>
      <c r="K31" s="319">
        <f>400000+56000*4</f>
        <v>624000</v>
      </c>
      <c r="L31" s="319"/>
      <c r="M31" s="319"/>
      <c r="N31" s="319"/>
      <c r="O31" s="74">
        <f t="shared" si="6"/>
        <v>1880000</v>
      </c>
      <c r="P31" s="135">
        <f>+O31+O30</f>
        <v>3080000</v>
      </c>
    </row>
    <row r="32" spans="1:15" s="36" customFormat="1" ht="15" customHeight="1" collapsed="1">
      <c r="A32" s="92" t="s">
        <v>92</v>
      </c>
      <c r="B32" s="221" t="s">
        <v>104</v>
      </c>
      <c r="C32" s="90">
        <v>0</v>
      </c>
      <c r="D32" s="218">
        <v>625000</v>
      </c>
      <c r="E32" s="218">
        <v>625000</v>
      </c>
      <c r="F32" s="218">
        <v>1250000</v>
      </c>
      <c r="G32" s="300">
        <v>1250000</v>
      </c>
      <c r="H32" s="300">
        <v>0</v>
      </c>
      <c r="I32" s="300">
        <v>0</v>
      </c>
      <c r="J32" s="300">
        <v>625000</v>
      </c>
      <c r="K32" s="300">
        <v>625000</v>
      </c>
      <c r="L32" s="300">
        <v>625000</v>
      </c>
      <c r="M32" s="300">
        <v>625000</v>
      </c>
      <c r="N32" s="300">
        <v>625000</v>
      </c>
      <c r="O32" s="74">
        <f t="shared" si="6"/>
        <v>3125000</v>
      </c>
    </row>
    <row r="33" spans="1:15" s="36" customFormat="1" ht="15" customHeight="1">
      <c r="A33" s="92" t="s">
        <v>93</v>
      </c>
      <c r="B33" s="221" t="s">
        <v>103</v>
      </c>
      <c r="C33" s="90">
        <v>0</v>
      </c>
      <c r="D33" s="218">
        <v>0</v>
      </c>
      <c r="E33" s="218">
        <v>0</v>
      </c>
      <c r="F33" s="218">
        <v>0</v>
      </c>
      <c r="G33" s="300">
        <v>0</v>
      </c>
      <c r="H33" s="300">
        <v>0</v>
      </c>
      <c r="I33" s="300">
        <v>0</v>
      </c>
      <c r="J33" s="300">
        <v>0</v>
      </c>
      <c r="K33" s="300">
        <v>0</v>
      </c>
      <c r="L33" s="300">
        <v>0</v>
      </c>
      <c r="M33" s="300">
        <v>0</v>
      </c>
      <c r="N33" s="300">
        <v>0</v>
      </c>
      <c r="O33" s="74"/>
    </row>
    <row r="34" spans="1:15" s="36" customFormat="1" ht="15" customHeight="1">
      <c r="A34" s="87" t="s">
        <v>61</v>
      </c>
      <c r="B34" s="220" t="s">
        <v>101</v>
      </c>
      <c r="C34" s="224">
        <v>0</v>
      </c>
      <c r="D34" s="222">
        <v>0</v>
      </c>
      <c r="E34" s="222">
        <v>0</v>
      </c>
      <c r="F34" s="222">
        <v>0</v>
      </c>
      <c r="G34" s="300">
        <v>0</v>
      </c>
      <c r="H34" s="300">
        <v>0</v>
      </c>
      <c r="I34" s="300">
        <v>0</v>
      </c>
      <c r="J34" s="300">
        <v>0</v>
      </c>
      <c r="K34" s="300">
        <v>0</v>
      </c>
      <c r="L34" s="300"/>
      <c r="M34" s="300">
        <v>0</v>
      </c>
      <c r="N34" s="300">
        <v>0</v>
      </c>
      <c r="O34" s="74"/>
    </row>
    <row r="35" spans="1:15" s="52" customFormat="1" ht="14.25" customHeight="1">
      <c r="A35" s="87" t="s">
        <v>90</v>
      </c>
      <c r="B35" s="220" t="s">
        <v>100</v>
      </c>
      <c r="C35" s="89">
        <v>348400</v>
      </c>
      <c r="D35" s="217">
        <v>397600</v>
      </c>
      <c r="E35" s="217">
        <v>397600</v>
      </c>
      <c r="F35" s="217">
        <f>254000+132000+81000+250000</f>
        <v>717000</v>
      </c>
      <c r="G35" s="301">
        <f>254000+132000+81000+250000</f>
        <v>717000</v>
      </c>
      <c r="H35" s="301">
        <v>978000</v>
      </c>
      <c r="I35" s="301">
        <f aca="true" t="shared" si="7" ref="I35:N35">SUM(I36:I44)</f>
        <v>849800</v>
      </c>
      <c r="J35" s="301">
        <f t="shared" si="7"/>
        <v>886680</v>
      </c>
      <c r="K35" s="301">
        <f t="shared" si="7"/>
        <v>678840</v>
      </c>
      <c r="L35" s="301">
        <f t="shared" si="7"/>
        <v>471000</v>
      </c>
      <c r="M35" s="301">
        <f t="shared" si="7"/>
        <v>285000</v>
      </c>
      <c r="N35" s="301">
        <f t="shared" si="7"/>
        <v>165000</v>
      </c>
      <c r="O35" s="74"/>
    </row>
    <row r="36" spans="1:15" s="52" customFormat="1" ht="14.25" customHeight="1" hidden="1" outlineLevel="1">
      <c r="A36" s="87"/>
      <c r="B36" s="306" t="s">
        <v>460</v>
      </c>
      <c r="C36" s="90"/>
      <c r="D36" s="218"/>
      <c r="E36" s="218"/>
      <c r="F36" s="218"/>
      <c r="G36" s="309"/>
      <c r="H36" s="309"/>
      <c r="I36" s="309">
        <v>45000</v>
      </c>
      <c r="J36" s="309"/>
      <c r="K36" s="309"/>
      <c r="L36" s="309"/>
      <c r="M36" s="309"/>
      <c r="N36" s="309"/>
      <c r="O36" s="74"/>
    </row>
    <row r="37" spans="1:15" s="52" customFormat="1" ht="14.25" customHeight="1" hidden="1" outlineLevel="1">
      <c r="A37" s="87"/>
      <c r="B37" s="311" t="s">
        <v>459</v>
      </c>
      <c r="C37" s="90"/>
      <c r="D37" s="218"/>
      <c r="E37" s="218"/>
      <c r="F37" s="218"/>
      <c r="G37" s="314"/>
      <c r="H37" s="314"/>
      <c r="I37" s="314">
        <v>24000</v>
      </c>
      <c r="J37" s="314"/>
      <c r="K37" s="314"/>
      <c r="L37" s="314"/>
      <c r="M37" s="314"/>
      <c r="N37" s="314"/>
      <c r="O37" s="74"/>
    </row>
    <row r="38" spans="1:15" s="52" customFormat="1" ht="14.25" customHeight="1" hidden="1" outlineLevel="1">
      <c r="A38" s="87"/>
      <c r="B38" s="311" t="s">
        <v>462</v>
      </c>
      <c r="C38" s="90"/>
      <c r="D38" s="218"/>
      <c r="E38" s="218"/>
      <c r="F38" s="218"/>
      <c r="G38" s="314"/>
      <c r="H38" s="314"/>
      <c r="I38" s="314">
        <v>180000</v>
      </c>
      <c r="J38" s="314">
        <f>+J28*4.2%*3</f>
        <v>126000</v>
      </c>
      <c r="K38" s="314">
        <f>+K28*4.2%*2</f>
        <v>84000</v>
      </c>
      <c r="L38" s="314">
        <f>+L28*4.2%*1</f>
        <v>42000</v>
      </c>
      <c r="M38" s="314"/>
      <c r="N38" s="314"/>
      <c r="O38" s="74"/>
    </row>
    <row r="39" spans="1:15" s="52" customFormat="1" ht="14.25" customHeight="1" hidden="1" outlineLevel="1">
      <c r="A39" s="87"/>
      <c r="B39" s="311" t="s">
        <v>366</v>
      </c>
      <c r="C39" s="90"/>
      <c r="D39" s="218"/>
      <c r="E39" s="218"/>
      <c r="F39" s="218"/>
      <c r="G39" s="314"/>
      <c r="H39" s="314"/>
      <c r="I39" s="314">
        <v>240000</v>
      </c>
      <c r="J39" s="314">
        <v>240000</v>
      </c>
      <c r="K39" s="314">
        <v>190000</v>
      </c>
      <c r="L39" s="314">
        <v>140000</v>
      </c>
      <c r="M39" s="314">
        <v>90000</v>
      </c>
      <c r="N39" s="314">
        <v>50000</v>
      </c>
      <c r="O39" s="74"/>
    </row>
    <row r="40" spans="1:15" s="52" customFormat="1" ht="14.25" customHeight="1" hidden="1" outlineLevel="1">
      <c r="A40" s="87"/>
      <c r="B40" s="341" t="s">
        <v>478</v>
      </c>
      <c r="C40" s="90"/>
      <c r="D40" s="218"/>
      <c r="E40" s="218"/>
      <c r="F40" s="218"/>
      <c r="G40" s="314"/>
      <c r="H40" s="314"/>
      <c r="I40" s="314">
        <f>+I17*5%</f>
        <v>250000</v>
      </c>
      <c r="J40" s="314">
        <f>+I17*8%</f>
        <v>400000</v>
      </c>
      <c r="K40" s="314">
        <f>+($I17-K29)*8%</f>
        <v>320000</v>
      </c>
      <c r="L40" s="314">
        <f>+($I17-L29*2)*8%</f>
        <v>240000</v>
      </c>
      <c r="M40" s="314">
        <f>+($I17-M29*3)*8%</f>
        <v>160000</v>
      </c>
      <c r="N40" s="314">
        <f>+($I17-N29*4)*8%</f>
        <v>80000</v>
      </c>
      <c r="O40" s="74"/>
    </row>
    <row r="41" spans="1:15" s="52" customFormat="1" ht="14.25" customHeight="1" hidden="1" outlineLevel="1">
      <c r="A41" s="87"/>
      <c r="B41" s="311" t="s">
        <v>477</v>
      </c>
      <c r="C41" s="90"/>
      <c r="D41" s="218"/>
      <c r="E41" s="218"/>
      <c r="F41" s="218"/>
      <c r="G41" s="314"/>
      <c r="H41" s="314"/>
      <c r="I41" s="314">
        <v>10000</v>
      </c>
      <c r="J41" s="314">
        <f>+I16*3.5%</f>
        <v>42000.00000000001</v>
      </c>
      <c r="K41" s="314">
        <f>+(I16-J30)*3.5%</f>
        <v>28000.000000000004</v>
      </c>
      <c r="L41" s="314">
        <f>+(I16-J30-K30)*3.5%</f>
        <v>14000.000000000002</v>
      </c>
      <c r="M41" s="314"/>
      <c r="N41" s="314"/>
      <c r="O41" s="74"/>
    </row>
    <row r="42" spans="1:15" s="52" customFormat="1" ht="14.25" customHeight="1" hidden="1" outlineLevel="1">
      <c r="A42" s="87"/>
      <c r="B42" s="339" t="s">
        <v>461</v>
      </c>
      <c r="C42" s="342"/>
      <c r="D42" s="343"/>
      <c r="E42" s="343"/>
      <c r="F42" s="343"/>
      <c r="G42" s="340"/>
      <c r="H42" s="340"/>
      <c r="I42" s="340">
        <f>+H15*3.5%</f>
        <v>65800</v>
      </c>
      <c r="J42" s="340">
        <f>+(H15-I31)*3.5%</f>
        <v>43680.00000000001</v>
      </c>
      <c r="K42" s="340">
        <f>+(H15-I31-J31)*3.5%</f>
        <v>21840.000000000004</v>
      </c>
      <c r="L42" s="340"/>
      <c r="M42" s="340"/>
      <c r="N42" s="340"/>
      <c r="O42" s="74"/>
    </row>
    <row r="43" spans="1:15" s="52" customFormat="1" ht="14.25" customHeight="1" hidden="1" outlineLevel="1">
      <c r="A43" s="87"/>
      <c r="B43" s="339" t="s">
        <v>480</v>
      </c>
      <c r="C43" s="345"/>
      <c r="D43" s="346"/>
      <c r="E43" s="346"/>
      <c r="F43" s="346"/>
      <c r="G43" s="340"/>
      <c r="H43" s="340"/>
      <c r="I43" s="340">
        <v>10000</v>
      </c>
      <c r="J43" s="340">
        <v>10000</v>
      </c>
      <c r="K43" s="340">
        <v>10000</v>
      </c>
      <c r="L43" s="340">
        <v>10000</v>
      </c>
      <c r="M43" s="340">
        <v>10000</v>
      </c>
      <c r="N43" s="340">
        <v>10000</v>
      </c>
      <c r="O43" s="74"/>
    </row>
    <row r="44" spans="1:15" s="52" customFormat="1" ht="14.25" customHeight="1" hidden="1" outlineLevel="1">
      <c r="A44" s="87"/>
      <c r="B44" s="344" t="s">
        <v>479</v>
      </c>
      <c r="C44" s="317"/>
      <c r="D44" s="318"/>
      <c r="E44" s="318"/>
      <c r="F44" s="318"/>
      <c r="G44" s="319"/>
      <c r="H44" s="319"/>
      <c r="I44" s="319">
        <v>25000</v>
      </c>
      <c r="J44" s="319">
        <f>+I44</f>
        <v>25000</v>
      </c>
      <c r="K44" s="319">
        <f>+J44</f>
        <v>25000</v>
      </c>
      <c r="L44" s="319">
        <f>+K44</f>
        <v>25000</v>
      </c>
      <c r="M44" s="319">
        <f>+L44</f>
        <v>25000</v>
      </c>
      <c r="N44" s="319">
        <f>+M44</f>
        <v>25000</v>
      </c>
      <c r="O44" s="74"/>
    </row>
    <row r="45" spans="1:15" s="37" customFormat="1" ht="22.5" customHeight="1" collapsed="1">
      <c r="A45" s="87" t="s">
        <v>16</v>
      </c>
      <c r="B45" s="88" t="s">
        <v>72</v>
      </c>
      <c r="C45" s="91">
        <v>39829150</v>
      </c>
      <c r="D45" s="218">
        <v>47350287</v>
      </c>
      <c r="E45" s="218">
        <v>47350287</v>
      </c>
      <c r="F45" s="218">
        <v>51717576</v>
      </c>
      <c r="G45" s="300">
        <v>54767555</v>
      </c>
      <c r="H45" s="300">
        <v>54625216</v>
      </c>
      <c r="I45" s="300">
        <f>+tabl1!F70</f>
        <v>53927734</v>
      </c>
      <c r="J45" s="300">
        <f>48691780+1000000+1000000+4000000</f>
        <v>54691780</v>
      </c>
      <c r="K45" s="300">
        <f>49091530+1000000+1000000+4000000</f>
        <v>55091530</v>
      </c>
      <c r="L45" s="300">
        <f>49518280+1000000+1000000+4000000</f>
        <v>55518280</v>
      </c>
      <c r="M45" s="300">
        <f>49972830+1000000+1000000+4000000-200000</f>
        <v>55772830</v>
      </c>
      <c r="N45" s="300">
        <f>50956010+1000000+4000000</f>
        <v>55956010</v>
      </c>
      <c r="O45" s="77"/>
    </row>
    <row r="46" spans="1:15" s="47" customFormat="1" ht="15.75">
      <c r="A46" s="87" t="s">
        <v>3</v>
      </c>
      <c r="B46" s="88" t="s">
        <v>393</v>
      </c>
      <c r="C46" s="91">
        <v>39282887</v>
      </c>
      <c r="D46" s="218">
        <v>54481132</v>
      </c>
      <c r="E46" s="218">
        <v>54481132</v>
      </c>
      <c r="F46" s="218">
        <f>53867576</f>
        <v>53867576</v>
      </c>
      <c r="G46" s="300">
        <f>+G45+2150000</f>
        <v>56917555</v>
      </c>
      <c r="H46" s="300">
        <v>58276941</v>
      </c>
      <c r="I46" s="300">
        <f>+tabl2!D269</f>
        <v>56895733.8</v>
      </c>
      <c r="J46" s="300">
        <f>53867576-6800796+4000000+76000-100000</f>
        <v>51042780</v>
      </c>
      <c r="K46" s="300">
        <f>53867576-6401046+4076000-100000</f>
        <v>51442530</v>
      </c>
      <c r="L46" s="300">
        <f>53867576-5974296+4700000-100000</f>
        <v>52493280</v>
      </c>
      <c r="M46" s="300">
        <f>53867576-4519746+4700000+100000</f>
        <v>54147830</v>
      </c>
      <c r="N46" s="300">
        <f>53867576-3536566+4000000</f>
        <v>54331010</v>
      </c>
      <c r="O46" s="77"/>
    </row>
    <row r="47" spans="1:15" s="47" customFormat="1" ht="22.5" customHeight="1">
      <c r="A47" s="87" t="s">
        <v>21</v>
      </c>
      <c r="B47" s="88" t="s">
        <v>84</v>
      </c>
      <c r="C47" s="91">
        <f>+C45-C46</f>
        <v>546263</v>
      </c>
      <c r="D47" s="218">
        <f aca="true" t="shared" si="8" ref="D47:N47">+D45-D46</f>
        <v>-7130845</v>
      </c>
      <c r="E47" s="218">
        <f t="shared" si="8"/>
        <v>-7130845</v>
      </c>
      <c r="F47" s="218">
        <f t="shared" si="8"/>
        <v>-2150000</v>
      </c>
      <c r="G47" s="300">
        <f t="shared" si="8"/>
        <v>-2150000</v>
      </c>
      <c r="H47" s="300">
        <f t="shared" si="8"/>
        <v>-3651725</v>
      </c>
      <c r="I47" s="300">
        <f t="shared" si="8"/>
        <v>-2967999.799999997</v>
      </c>
      <c r="J47" s="300">
        <f t="shared" si="8"/>
        <v>3649000</v>
      </c>
      <c r="K47" s="300">
        <f t="shared" si="8"/>
        <v>3649000</v>
      </c>
      <c r="L47" s="300">
        <f t="shared" si="8"/>
        <v>3025000</v>
      </c>
      <c r="M47" s="300">
        <f t="shared" si="8"/>
        <v>1625000</v>
      </c>
      <c r="N47" s="300">
        <f t="shared" si="8"/>
        <v>1625000</v>
      </c>
      <c r="O47" s="77"/>
    </row>
    <row r="48" spans="1:15" s="37" customFormat="1" ht="22.5" customHeight="1">
      <c r="A48" s="87" t="s">
        <v>22</v>
      </c>
      <c r="B48" s="88" t="s">
        <v>73</v>
      </c>
      <c r="C48" s="90"/>
      <c r="D48" s="218"/>
      <c r="E48" s="218"/>
      <c r="F48" s="218"/>
      <c r="G48" s="218"/>
      <c r="H48" s="218"/>
      <c r="I48" s="218"/>
      <c r="J48" s="218"/>
      <c r="K48" s="219"/>
      <c r="L48" s="219"/>
      <c r="M48" s="219"/>
      <c r="N48" s="219"/>
      <c r="O48" s="78"/>
    </row>
    <row r="49" spans="1:15" s="36" customFormat="1" ht="16.5" customHeight="1">
      <c r="A49" s="87" t="s">
        <v>105</v>
      </c>
      <c r="B49" s="88" t="s">
        <v>349</v>
      </c>
      <c r="C49" s="224">
        <f>+C10/C45*100</f>
        <v>9.967574000449419</v>
      </c>
      <c r="D49" s="222">
        <f>+D10/D45*100</f>
        <v>19.376862488710998</v>
      </c>
      <c r="E49" s="222">
        <f>+E10/E45*100</f>
        <v>19.376862488710998</v>
      </c>
      <c r="F49" s="222">
        <f>+F10/F45*100</f>
        <v>21.89777803971323</v>
      </c>
      <c r="G49" s="222">
        <f aca="true" t="shared" si="9" ref="G49:N49">+G10/G45*100</f>
        <v>20.678301231449897</v>
      </c>
      <c r="H49" s="222">
        <f t="shared" si="9"/>
        <v>19.414110875094757</v>
      </c>
      <c r="I49" s="222">
        <f t="shared" si="9"/>
        <v>25.168867655370054</v>
      </c>
      <c r="J49" s="222">
        <f t="shared" si="9"/>
        <v>18.14532275234048</v>
      </c>
      <c r="K49" s="222">
        <f t="shared" si="9"/>
        <v>11.390135652431509</v>
      </c>
      <c r="L49" s="222">
        <f t="shared" si="9"/>
        <v>5.853927751364055</v>
      </c>
      <c r="M49" s="222">
        <f t="shared" si="9"/>
        <v>2.913605065405503</v>
      </c>
      <c r="N49" s="222">
        <f t="shared" si="9"/>
        <v>0</v>
      </c>
      <c r="O49" s="79"/>
    </row>
    <row r="50" spans="1:15" s="36" customFormat="1" ht="30.75">
      <c r="A50" s="87" t="s">
        <v>106</v>
      </c>
      <c r="B50" s="88" t="s">
        <v>421</v>
      </c>
      <c r="C50" s="90"/>
      <c r="D50" s="218"/>
      <c r="E50" s="218"/>
      <c r="F50" s="218"/>
      <c r="G50" s="218"/>
      <c r="H50" s="218"/>
      <c r="I50" s="218"/>
      <c r="J50" s="218"/>
      <c r="K50" s="219"/>
      <c r="L50" s="219"/>
      <c r="M50" s="219"/>
      <c r="N50" s="219"/>
      <c r="O50" s="80"/>
    </row>
    <row r="51" spans="1:15" s="36" customFormat="1" ht="30" customHeight="1">
      <c r="A51" s="87" t="s">
        <v>107</v>
      </c>
      <c r="B51" s="88" t="s">
        <v>350</v>
      </c>
      <c r="C51" s="225">
        <f>+C23/C45*100</f>
        <v>3.184602232284646</v>
      </c>
      <c r="D51" s="226">
        <f>+D23/D45*100</f>
        <v>4.102615048563487</v>
      </c>
      <c r="E51" s="226">
        <f aca="true" t="shared" si="10" ref="E51:N51">+E23/E45*100</f>
        <v>4.102615048563487</v>
      </c>
      <c r="F51" s="226">
        <f>+F23/F45*100</f>
        <v>6.897074990521597</v>
      </c>
      <c r="G51" s="226">
        <f t="shared" si="10"/>
        <v>6.512980175945411</v>
      </c>
      <c r="H51" s="226">
        <f t="shared" si="10"/>
        <v>6.550088515897127</v>
      </c>
      <c r="I51" s="226">
        <f t="shared" si="10"/>
        <v>7.569018197575296</v>
      </c>
      <c r="J51" s="226">
        <f t="shared" si="10"/>
        <v>8.293165810291784</v>
      </c>
      <c r="K51" s="226">
        <f t="shared" si="10"/>
        <v>7.855726642552857</v>
      </c>
      <c r="L51" s="226">
        <f t="shared" si="10"/>
        <v>6.297025051928842</v>
      </c>
      <c r="M51" s="226">
        <f t="shared" si="10"/>
        <v>3.4246065691843146</v>
      </c>
      <c r="N51" s="226">
        <f t="shared" si="10"/>
        <v>3.1989414541887458</v>
      </c>
      <c r="O51" s="80"/>
    </row>
    <row r="52" spans="1:15" s="36" customFormat="1" ht="28.5" customHeight="1">
      <c r="A52" s="227" t="s">
        <v>108</v>
      </c>
      <c r="B52" s="228" t="s">
        <v>342</v>
      </c>
      <c r="C52" s="229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80"/>
    </row>
    <row r="54" spans="3:14" ht="12.75">
      <c r="C54" s="138">
        <f>+C45+C15-C46-C24</f>
        <v>-373737</v>
      </c>
      <c r="D54" s="138">
        <f>+D45+D15-D46-D24-D35</f>
        <v>-9073445</v>
      </c>
      <c r="E54" s="138">
        <f>+E45+E15-E46-E24-E35</f>
        <v>-2323445</v>
      </c>
      <c r="F54" s="138"/>
      <c r="G54" s="138">
        <f>+G45+G15-G46-G24</f>
        <v>0</v>
      </c>
      <c r="H54" s="138"/>
      <c r="I54" s="138"/>
      <c r="J54" s="138"/>
      <c r="K54" s="138"/>
      <c r="L54" s="138"/>
      <c r="M54" s="138"/>
      <c r="N54" s="138"/>
    </row>
    <row r="56" spans="4:14" ht="12.75">
      <c r="D56" s="137">
        <f>+D46+D35</f>
        <v>54878732</v>
      </c>
      <c r="E56" s="137">
        <f>+E46+E35</f>
        <v>54878732</v>
      </c>
      <c r="F56" s="137"/>
      <c r="G56" s="137">
        <f>+G46+G35</f>
        <v>57634555</v>
      </c>
      <c r="H56" s="137"/>
      <c r="I56" s="137"/>
      <c r="J56" s="137"/>
      <c r="K56" s="137"/>
      <c r="L56" s="137"/>
      <c r="M56" s="137"/>
      <c r="N56" s="137"/>
    </row>
    <row r="57" spans="3:6" ht="12.75">
      <c r="C57" s="136">
        <f>+C45-C46</f>
        <v>546263</v>
      </c>
      <c r="E57" s="137">
        <v>55028732</v>
      </c>
      <c r="F57" s="137"/>
    </row>
    <row r="58" spans="5:14" ht="12.75">
      <c r="E58" s="137">
        <f>+E46+E35</f>
        <v>54878732</v>
      </c>
      <c r="F58" s="137"/>
      <c r="I58" s="138"/>
      <c r="J58" s="138"/>
      <c r="K58" s="138"/>
      <c r="L58" s="138"/>
      <c r="M58" s="138"/>
      <c r="N58" s="138"/>
    </row>
    <row r="59" spans="4:14" ht="12.75">
      <c r="D59" s="137"/>
      <c r="E59" s="137">
        <v>54878732</v>
      </c>
      <c r="F59" s="137"/>
      <c r="G59" s="136">
        <f>+D10-G24+G15</f>
        <v>11325000</v>
      </c>
      <c r="H59" s="136"/>
      <c r="I59" s="136"/>
      <c r="J59" s="136"/>
      <c r="K59" s="136"/>
      <c r="L59" s="136"/>
      <c r="M59" s="136"/>
      <c r="N59" s="136"/>
    </row>
    <row r="60" spans="4:14" ht="12.75">
      <c r="D60" s="137"/>
      <c r="E60" s="137">
        <f>+E59-E35</f>
        <v>54481132</v>
      </c>
      <c r="F60" s="137"/>
      <c r="H60" s="136"/>
      <c r="I60" s="136"/>
      <c r="J60" s="136"/>
      <c r="K60" s="136"/>
      <c r="L60" s="136"/>
      <c r="M60" s="136"/>
      <c r="N60" s="136"/>
    </row>
    <row r="61" spans="4:14" ht="12.75">
      <c r="D61" s="137"/>
      <c r="E61" s="137"/>
      <c r="F61" s="137"/>
      <c r="H61" s="215"/>
      <c r="I61" s="138"/>
      <c r="J61" s="138"/>
      <c r="K61" s="138"/>
      <c r="L61" s="138"/>
      <c r="M61" s="138"/>
      <c r="N61" s="138"/>
    </row>
    <row r="62" spans="4:6" ht="12.75">
      <c r="D62" s="137"/>
      <c r="E62" s="137"/>
      <c r="F62" s="137"/>
    </row>
    <row r="63" spans="2:14" ht="12.75">
      <c r="B63" s="41"/>
      <c r="E63" s="137"/>
      <c r="F63" s="137"/>
      <c r="G63" s="138">
        <v>1200000</v>
      </c>
      <c r="H63" s="138"/>
      <c r="I63" s="138"/>
      <c r="J63" s="138"/>
      <c r="K63" s="138"/>
      <c r="L63" s="138"/>
      <c r="M63" s="138"/>
      <c r="N63" s="138"/>
    </row>
    <row r="64" spans="2:14" ht="12.75">
      <c r="B64" s="41"/>
      <c r="E64" s="137"/>
      <c r="F64" s="137"/>
      <c r="G64" s="138">
        <v>2000000</v>
      </c>
      <c r="H64" s="138"/>
      <c r="I64" s="138"/>
      <c r="J64" s="138"/>
      <c r="K64" s="138"/>
      <c r="L64" s="138"/>
      <c r="M64" s="138"/>
      <c r="N64" s="138"/>
    </row>
    <row r="65" spans="8:14" ht="12.75">
      <c r="H65" s="138"/>
      <c r="I65" s="138"/>
      <c r="J65" s="138"/>
      <c r="K65" s="138"/>
      <c r="L65" s="138"/>
      <c r="M65" s="138"/>
      <c r="N65" s="138"/>
    </row>
  </sheetData>
  <mergeCells count="8">
    <mergeCell ref="A5:K5"/>
    <mergeCell ref="A8:A9"/>
    <mergeCell ref="B8:B9"/>
    <mergeCell ref="C8:C9"/>
    <mergeCell ref="D8:D9"/>
    <mergeCell ref="G8:G9"/>
    <mergeCell ref="I8:N8"/>
    <mergeCell ref="H8:H9"/>
  </mergeCells>
  <printOptions horizontalCentered="1" verticalCentered="1"/>
  <pageMargins left="0.19" right="0.2" top="0.25" bottom="0.3" header="0.17" footer="0.16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0"/>
  <sheetViews>
    <sheetView view="pageBreakPreview" zoomScaleSheetLayoutView="100" workbookViewId="0" topLeftCell="A250">
      <selection activeCell="L2" sqref="L2:L4"/>
    </sheetView>
  </sheetViews>
  <sheetFormatPr defaultColWidth="9.00390625" defaultRowHeight="12.75"/>
  <cols>
    <col min="1" max="1" width="4.625" style="1" customWidth="1"/>
    <col min="2" max="2" width="8.625" style="1" customWidth="1"/>
    <col min="3" max="3" width="54.625" style="1" customWidth="1"/>
    <col min="4" max="4" width="12.75390625" style="1" customWidth="1"/>
    <col min="5" max="7" width="13.625" style="1" customWidth="1"/>
    <col min="8" max="8" width="15.00390625" style="1" customWidth="1"/>
    <col min="9" max="9" width="11.625" style="1" customWidth="1"/>
    <col min="10" max="10" width="12.00390625" style="1" customWidth="1"/>
    <col min="11" max="11" width="12.75390625" style="1" customWidth="1"/>
    <col min="12" max="12" width="13.25390625" style="1" customWidth="1"/>
    <col min="13" max="13" width="13.00390625" style="0" customWidth="1"/>
    <col min="14" max="14" width="11.125" style="0" customWidth="1"/>
  </cols>
  <sheetData>
    <row r="1" ht="12.75">
      <c r="L1" t="s">
        <v>608</v>
      </c>
    </row>
    <row r="2" ht="12.75">
      <c r="L2" t="s">
        <v>654</v>
      </c>
    </row>
    <row r="3" ht="12.75">
      <c r="L3" t="s">
        <v>130</v>
      </c>
    </row>
    <row r="4" spans="1:13" ht="12.75">
      <c r="A4" s="5"/>
      <c r="B4" s="5"/>
      <c r="C4" s="5"/>
      <c r="D4" s="5"/>
      <c r="E4" s="5"/>
      <c r="F4" s="5"/>
      <c r="G4" s="5"/>
      <c r="H4" s="5"/>
      <c r="I4" s="521"/>
      <c r="J4" s="521"/>
      <c r="L4" t="s">
        <v>655</v>
      </c>
      <c r="M4" s="521"/>
    </row>
    <row r="5" spans="1:13" ht="18">
      <c r="A5" s="810" t="s">
        <v>466</v>
      </c>
      <c r="B5" s="810"/>
      <c r="C5" s="810"/>
      <c r="D5" s="810"/>
      <c r="E5" s="810"/>
      <c r="F5" s="810"/>
      <c r="G5" s="810"/>
      <c r="H5" s="810"/>
      <c r="I5" s="521"/>
      <c r="J5" s="521"/>
      <c r="K5" s="521"/>
      <c r="L5" s="521"/>
      <c r="M5" s="521"/>
    </row>
    <row r="6" spans="1:13" ht="13.5" thickBot="1">
      <c r="A6" s="145"/>
      <c r="B6" s="145"/>
      <c r="C6" s="145"/>
      <c r="D6" s="145"/>
      <c r="E6" s="145"/>
      <c r="F6" s="145"/>
      <c r="G6" s="145"/>
      <c r="H6" s="4"/>
      <c r="I6" s="146"/>
      <c r="J6" s="146"/>
      <c r="K6" s="146"/>
      <c r="L6" s="147"/>
      <c r="M6" s="523" t="s">
        <v>530</v>
      </c>
    </row>
    <row r="7" spans="1:14" s="36" customFormat="1" ht="13.5" customHeight="1" thickBot="1">
      <c r="A7" s="797" t="s">
        <v>4</v>
      </c>
      <c r="B7" s="823" t="s">
        <v>5</v>
      </c>
      <c r="C7" s="813" t="s">
        <v>20</v>
      </c>
      <c r="D7" s="797" t="s">
        <v>467</v>
      </c>
      <c r="E7" s="803" t="s">
        <v>46</v>
      </c>
      <c r="F7" s="804"/>
      <c r="G7" s="804"/>
      <c r="H7" s="804"/>
      <c r="I7" s="804"/>
      <c r="J7" s="804"/>
      <c r="K7" s="804"/>
      <c r="L7" s="804"/>
      <c r="M7" s="804"/>
      <c r="N7" s="805"/>
    </row>
    <row r="8" spans="1:14" s="36" customFormat="1" ht="12.75">
      <c r="A8" s="798"/>
      <c r="B8" s="824"/>
      <c r="C8" s="822"/>
      <c r="D8" s="798"/>
      <c r="E8" s="797" t="s">
        <v>24</v>
      </c>
      <c r="F8" s="813" t="s">
        <v>8</v>
      </c>
      <c r="G8" s="806"/>
      <c r="H8" s="806"/>
      <c r="I8" s="435"/>
      <c r="J8" s="435"/>
      <c r="K8" s="436"/>
      <c r="L8" s="797" t="s">
        <v>27</v>
      </c>
      <c r="M8" s="806" t="s">
        <v>521</v>
      </c>
      <c r="N8" s="807"/>
    </row>
    <row r="9" spans="1:14" s="36" customFormat="1" ht="12.75">
      <c r="A9" s="798"/>
      <c r="B9" s="824"/>
      <c r="C9" s="822"/>
      <c r="D9" s="798"/>
      <c r="E9" s="798"/>
      <c r="F9" s="799" t="s">
        <v>520</v>
      </c>
      <c r="G9" s="811" t="s">
        <v>521</v>
      </c>
      <c r="H9" s="812"/>
      <c r="I9" s="799" t="s">
        <v>64</v>
      </c>
      <c r="J9" s="799" t="s">
        <v>522</v>
      </c>
      <c r="K9" s="801" t="s">
        <v>411</v>
      </c>
      <c r="L9" s="798"/>
      <c r="M9" s="795" t="s">
        <v>523</v>
      </c>
      <c r="N9" s="808" t="s">
        <v>524</v>
      </c>
    </row>
    <row r="10" spans="1:14" s="36" customFormat="1" ht="60" customHeight="1">
      <c r="A10" s="798"/>
      <c r="B10" s="824"/>
      <c r="C10" s="822"/>
      <c r="D10" s="798"/>
      <c r="E10" s="798"/>
      <c r="F10" s="800"/>
      <c r="G10" s="368" t="s">
        <v>400</v>
      </c>
      <c r="H10" s="437" t="s">
        <v>525</v>
      </c>
      <c r="I10" s="800"/>
      <c r="J10" s="800"/>
      <c r="K10" s="802"/>
      <c r="L10" s="798"/>
      <c r="M10" s="796"/>
      <c r="N10" s="809"/>
    </row>
    <row r="11" spans="1:14" s="36" customFormat="1" ht="12.75">
      <c r="A11" s="369">
        <v>1</v>
      </c>
      <c r="B11" s="370">
        <v>2</v>
      </c>
      <c r="C11" s="370">
        <v>3</v>
      </c>
      <c r="D11" s="369">
        <v>4</v>
      </c>
      <c r="E11" s="369">
        <v>5</v>
      </c>
      <c r="F11" s="370">
        <v>6</v>
      </c>
      <c r="G11" s="370">
        <v>7</v>
      </c>
      <c r="H11" s="370">
        <v>8</v>
      </c>
      <c r="I11" s="370">
        <v>9</v>
      </c>
      <c r="J11" s="370">
        <v>10</v>
      </c>
      <c r="K11" s="404">
        <v>11</v>
      </c>
      <c r="L11" s="369">
        <v>12</v>
      </c>
      <c r="M11" s="370">
        <v>13</v>
      </c>
      <c r="N11" s="404">
        <v>14</v>
      </c>
    </row>
    <row r="12" spans="1:14" s="36" customFormat="1" ht="15">
      <c r="A12" s="501" t="s">
        <v>355</v>
      </c>
      <c r="B12" s="499"/>
      <c r="C12" s="162" t="s">
        <v>178</v>
      </c>
      <c r="D12" s="443">
        <f aca="true" t="shared" si="0" ref="D12:D19">+E12+L12</f>
        <v>45000</v>
      </c>
      <c r="E12" s="443">
        <f>+E13+E15</f>
        <v>45000</v>
      </c>
      <c r="F12" s="163">
        <f aca="true" t="shared" si="1" ref="F12:F17">+G12+H12</f>
        <v>45000</v>
      </c>
      <c r="G12" s="163">
        <f>+G13+G15</f>
        <v>0</v>
      </c>
      <c r="H12" s="163">
        <f>+H13+H15</f>
        <v>45000</v>
      </c>
      <c r="I12" s="163">
        <f>+I13+I15</f>
        <v>0</v>
      </c>
      <c r="J12" s="163"/>
      <c r="K12" s="444">
        <f>+K13+K15</f>
        <v>0</v>
      </c>
      <c r="L12" s="424">
        <f>+M12+N12</f>
        <v>0</v>
      </c>
      <c r="M12" s="163">
        <f>+M13+M15</f>
        <v>0</v>
      </c>
      <c r="N12" s="444">
        <f>+N13+N15</f>
        <v>0</v>
      </c>
    </row>
    <row r="13" spans="1:14" s="36" customFormat="1" ht="12.75">
      <c r="A13" s="186"/>
      <c r="B13" s="159">
        <v>1008</v>
      </c>
      <c r="C13" s="160" t="s">
        <v>179</v>
      </c>
      <c r="D13" s="442">
        <f t="shared" si="0"/>
        <v>30000</v>
      </c>
      <c r="E13" s="442">
        <f>+E14</f>
        <v>30000</v>
      </c>
      <c r="F13" s="152">
        <f t="shared" si="1"/>
        <v>30000</v>
      </c>
      <c r="G13" s="152"/>
      <c r="H13" s="152">
        <f>+H14</f>
        <v>30000</v>
      </c>
      <c r="I13" s="152"/>
      <c r="J13" s="152"/>
      <c r="K13" s="413">
        <f>+K14</f>
        <v>0</v>
      </c>
      <c r="L13" s="410"/>
      <c r="M13" s="341"/>
      <c r="N13" s="406"/>
    </row>
    <row r="14" spans="1:14" s="36" customFormat="1" ht="12.75">
      <c r="A14" s="186"/>
      <c r="B14" s="157"/>
      <c r="C14" s="158" t="s">
        <v>180</v>
      </c>
      <c r="D14" s="440">
        <f t="shared" si="0"/>
        <v>30000</v>
      </c>
      <c r="E14" s="440">
        <f>+H14</f>
        <v>30000</v>
      </c>
      <c r="F14" s="120">
        <f t="shared" si="1"/>
        <v>30000</v>
      </c>
      <c r="G14" s="120"/>
      <c r="H14" s="120">
        <v>30000</v>
      </c>
      <c r="I14" s="120" t="s">
        <v>23</v>
      </c>
      <c r="J14" s="120"/>
      <c r="K14" s="441"/>
      <c r="L14" s="410"/>
      <c r="M14" s="341"/>
      <c r="N14" s="406"/>
    </row>
    <row r="15" spans="1:14" s="36" customFormat="1" ht="12.75">
      <c r="A15" s="186"/>
      <c r="B15" s="159">
        <v>1030</v>
      </c>
      <c r="C15" s="160" t="s">
        <v>181</v>
      </c>
      <c r="D15" s="442">
        <f t="shared" si="0"/>
        <v>15000</v>
      </c>
      <c r="E15" s="442">
        <f>+E16</f>
        <v>15000</v>
      </c>
      <c r="F15" s="152">
        <f t="shared" si="1"/>
        <v>15000</v>
      </c>
      <c r="G15" s="152"/>
      <c r="H15" s="152">
        <f>+H16</f>
        <v>15000</v>
      </c>
      <c r="I15" s="152"/>
      <c r="J15" s="152"/>
      <c r="K15" s="413">
        <f>+K16</f>
        <v>0</v>
      </c>
      <c r="L15" s="410"/>
      <c r="M15" s="341"/>
      <c r="N15" s="406"/>
    </row>
    <row r="16" spans="1:14" s="36" customFormat="1" ht="12.75">
      <c r="A16" s="196"/>
      <c r="B16" s="201"/>
      <c r="C16" s="202" t="s">
        <v>182</v>
      </c>
      <c r="D16" s="462">
        <f t="shared" si="0"/>
        <v>15000</v>
      </c>
      <c r="E16" s="462">
        <f>+H16</f>
        <v>15000</v>
      </c>
      <c r="F16" s="118">
        <f t="shared" si="1"/>
        <v>15000</v>
      </c>
      <c r="G16" s="118"/>
      <c r="H16" s="118">
        <v>15000</v>
      </c>
      <c r="I16" s="118" t="s">
        <v>23</v>
      </c>
      <c r="J16" s="118"/>
      <c r="K16" s="463"/>
      <c r="L16" s="500"/>
      <c r="M16" s="403"/>
      <c r="N16" s="485"/>
    </row>
    <row r="17" spans="1:14" s="36" customFormat="1" ht="15">
      <c r="A17" s="182">
        <v>600</v>
      </c>
      <c r="B17" s="161"/>
      <c r="C17" s="162" t="s">
        <v>183</v>
      </c>
      <c r="D17" s="464">
        <f t="shared" si="0"/>
        <v>6040700</v>
      </c>
      <c r="E17" s="443">
        <f>+E18+E22</f>
        <v>2550700</v>
      </c>
      <c r="F17" s="153">
        <f t="shared" si="1"/>
        <v>2550700</v>
      </c>
      <c r="G17" s="163"/>
      <c r="H17" s="163">
        <f>+H18+H22</f>
        <v>2550700</v>
      </c>
      <c r="I17" s="163">
        <f>+I18+I22</f>
        <v>0</v>
      </c>
      <c r="J17" s="163"/>
      <c r="K17" s="444"/>
      <c r="L17" s="407">
        <f>+L18+L22</f>
        <v>3490000</v>
      </c>
      <c r="M17" s="371">
        <f>+M18+M22</f>
        <v>3490000</v>
      </c>
      <c r="N17" s="408">
        <f>+N18+N22</f>
        <v>0</v>
      </c>
    </row>
    <row r="18" spans="1:14" s="36" customFormat="1" ht="12.75">
      <c r="A18" s="186"/>
      <c r="B18" s="154">
        <v>60004</v>
      </c>
      <c r="C18" s="155" t="s">
        <v>185</v>
      </c>
      <c r="D18" s="438">
        <f t="shared" si="0"/>
        <v>934500</v>
      </c>
      <c r="E18" s="438">
        <f>+E19</f>
        <v>934500</v>
      </c>
      <c r="F18" s="156">
        <f>+F19</f>
        <v>934500</v>
      </c>
      <c r="G18" s="156"/>
      <c r="H18" s="156">
        <f>+H19</f>
        <v>934500</v>
      </c>
      <c r="I18" s="156"/>
      <c r="J18" s="156"/>
      <c r="K18" s="439"/>
      <c r="L18" s="405"/>
      <c r="M18" s="341"/>
      <c r="N18" s="406"/>
    </row>
    <row r="19" spans="1:14" s="36" customFormat="1" ht="12.75">
      <c r="A19" s="186"/>
      <c r="B19" s="157"/>
      <c r="C19" s="158" t="s">
        <v>184</v>
      </c>
      <c r="D19" s="440">
        <f t="shared" si="0"/>
        <v>934500</v>
      </c>
      <c r="E19" s="440">
        <f>+F19+I19+J19+K19</f>
        <v>934500</v>
      </c>
      <c r="F19" s="120">
        <f>+G19+H19</f>
        <v>934500</v>
      </c>
      <c r="G19" s="120"/>
      <c r="H19" s="120">
        <v>934500</v>
      </c>
      <c r="I19" s="120"/>
      <c r="J19" s="120"/>
      <c r="K19" s="441"/>
      <c r="L19" s="409"/>
      <c r="M19" s="341"/>
      <c r="N19" s="406"/>
    </row>
    <row r="20" spans="1:14" s="36" customFormat="1" ht="12.75" hidden="1">
      <c r="A20" s="186"/>
      <c r="B20" s="157"/>
      <c r="C20" s="158" t="s">
        <v>470</v>
      </c>
      <c r="D20" s="440">
        <f aca="true" t="shared" si="2" ref="D20:D48">+E20+L20</f>
        <v>0</v>
      </c>
      <c r="E20" s="440"/>
      <c r="F20" s="120">
        <f aca="true" t="shared" si="3" ref="F20:F29">+G20+H20</f>
        <v>0</v>
      </c>
      <c r="G20" s="120"/>
      <c r="H20" s="120"/>
      <c r="I20" s="120"/>
      <c r="J20" s="120"/>
      <c r="K20" s="441"/>
      <c r="L20" s="409"/>
      <c r="M20" s="341"/>
      <c r="N20" s="406"/>
    </row>
    <row r="21" spans="1:14" s="36" customFormat="1" ht="12.75" hidden="1">
      <c r="A21" s="186"/>
      <c r="B21" s="157"/>
      <c r="C21" s="158" t="s">
        <v>405</v>
      </c>
      <c r="D21" s="440">
        <f>+E21+L21</f>
        <v>0</v>
      </c>
      <c r="E21" s="440"/>
      <c r="F21" s="120">
        <f t="shared" si="3"/>
        <v>0</v>
      </c>
      <c r="G21" s="120"/>
      <c r="H21" s="120"/>
      <c r="I21" s="120"/>
      <c r="J21" s="120"/>
      <c r="K21" s="441"/>
      <c r="L21" s="409"/>
      <c r="M21" s="341"/>
      <c r="N21" s="406"/>
    </row>
    <row r="22" spans="1:14" s="36" customFormat="1" ht="12.75">
      <c r="A22" s="186"/>
      <c r="B22" s="159">
        <v>60016</v>
      </c>
      <c r="C22" s="160" t="s">
        <v>186</v>
      </c>
      <c r="D22" s="442">
        <f t="shared" si="2"/>
        <v>5106200</v>
      </c>
      <c r="E22" s="442">
        <f>SUM(E23:E29)</f>
        <v>1616200</v>
      </c>
      <c r="F22" s="152">
        <f t="shared" si="3"/>
        <v>1616200</v>
      </c>
      <c r="G22" s="152"/>
      <c r="H22" s="152">
        <f>SUM(H23:H29)</f>
        <v>1616200</v>
      </c>
      <c r="I22" s="152"/>
      <c r="J22" s="152"/>
      <c r="K22" s="413"/>
      <c r="L22" s="410">
        <f>+M22</f>
        <v>3490000</v>
      </c>
      <c r="M22" s="390">
        <f>+M30</f>
        <v>3490000</v>
      </c>
      <c r="N22" s="411">
        <f>+N30</f>
        <v>0</v>
      </c>
    </row>
    <row r="23" spans="1:14" s="36" customFormat="1" ht="12.75">
      <c r="A23" s="186"/>
      <c r="B23" s="157"/>
      <c r="C23" s="158" t="s">
        <v>188</v>
      </c>
      <c r="D23" s="440">
        <f t="shared" si="2"/>
        <v>450000</v>
      </c>
      <c r="E23" s="440">
        <f aca="true" t="shared" si="4" ref="E23:E29">+F23+I23+J23+K23</f>
        <v>450000</v>
      </c>
      <c r="F23" s="120">
        <f t="shared" si="3"/>
        <v>450000</v>
      </c>
      <c r="G23" s="120"/>
      <c r="H23" s="120">
        <v>450000</v>
      </c>
      <c r="I23" s="120"/>
      <c r="J23" s="120"/>
      <c r="K23" s="441"/>
      <c r="L23" s="409"/>
      <c r="M23" s="341"/>
      <c r="N23" s="406"/>
    </row>
    <row r="24" spans="1:14" s="36" customFormat="1" ht="12.75">
      <c r="A24" s="329"/>
      <c r="B24" s="164"/>
      <c r="C24" s="120" t="s">
        <v>189</v>
      </c>
      <c r="D24" s="440">
        <f t="shared" si="2"/>
        <v>400000</v>
      </c>
      <c r="E24" s="440">
        <f t="shared" si="4"/>
        <v>400000</v>
      </c>
      <c r="F24" s="120">
        <f t="shared" si="3"/>
        <v>400000</v>
      </c>
      <c r="G24" s="120"/>
      <c r="H24" s="120">
        <v>400000</v>
      </c>
      <c r="I24" s="120"/>
      <c r="J24" s="120"/>
      <c r="K24" s="441"/>
      <c r="L24" s="409"/>
      <c r="M24" s="341"/>
      <c r="N24" s="406"/>
    </row>
    <row r="25" spans="1:14" s="36" customFormat="1" ht="12.75">
      <c r="A25" s="329"/>
      <c r="B25" s="165"/>
      <c r="C25" s="117" t="s">
        <v>190</v>
      </c>
      <c r="D25" s="450">
        <f t="shared" si="2"/>
        <v>100000</v>
      </c>
      <c r="E25" s="440">
        <f t="shared" si="4"/>
        <v>100000</v>
      </c>
      <c r="F25" s="120">
        <f t="shared" si="3"/>
        <v>100000</v>
      </c>
      <c r="G25" s="117"/>
      <c r="H25" s="117">
        <v>100000</v>
      </c>
      <c r="I25" s="117"/>
      <c r="J25" s="117"/>
      <c r="K25" s="445"/>
      <c r="L25" s="412"/>
      <c r="M25" s="341"/>
      <c r="N25" s="406"/>
    </row>
    <row r="26" spans="1:14" s="36" customFormat="1" ht="12.75">
      <c r="A26" s="329"/>
      <c r="B26" s="164"/>
      <c r="C26" s="120" t="s">
        <v>191</v>
      </c>
      <c r="D26" s="440">
        <f t="shared" si="2"/>
        <v>150000</v>
      </c>
      <c r="E26" s="440">
        <f t="shared" si="4"/>
        <v>150000</v>
      </c>
      <c r="F26" s="120">
        <f t="shared" si="3"/>
        <v>150000</v>
      </c>
      <c r="G26" s="120"/>
      <c r="H26" s="120">
        <v>150000</v>
      </c>
      <c r="I26" s="120"/>
      <c r="J26" s="120"/>
      <c r="K26" s="441"/>
      <c r="L26" s="409"/>
      <c r="M26" s="341"/>
      <c r="N26" s="406"/>
    </row>
    <row r="27" spans="1:14" s="36" customFormat="1" ht="12.75">
      <c r="A27" s="329"/>
      <c r="B27" s="164"/>
      <c r="C27" s="120" t="s">
        <v>512</v>
      </c>
      <c r="D27" s="440">
        <f t="shared" si="2"/>
        <v>10000</v>
      </c>
      <c r="E27" s="440">
        <f t="shared" si="4"/>
        <v>10000</v>
      </c>
      <c r="F27" s="120">
        <f t="shared" si="3"/>
        <v>10000</v>
      </c>
      <c r="G27" s="120"/>
      <c r="H27" s="120">
        <v>10000</v>
      </c>
      <c r="I27" s="120"/>
      <c r="J27" s="120"/>
      <c r="K27" s="441"/>
      <c r="L27" s="409"/>
      <c r="M27" s="341"/>
      <c r="N27" s="406"/>
    </row>
    <row r="28" spans="1:14" s="36" customFormat="1" ht="12.75">
      <c r="A28" s="329"/>
      <c r="B28" s="164"/>
      <c r="C28" s="120" t="s">
        <v>557</v>
      </c>
      <c r="D28" s="440">
        <f t="shared" si="2"/>
        <v>6200</v>
      </c>
      <c r="E28" s="440">
        <f t="shared" si="4"/>
        <v>6200</v>
      </c>
      <c r="F28" s="120">
        <f t="shared" si="3"/>
        <v>6200</v>
      </c>
      <c r="G28" s="120"/>
      <c r="H28" s="120">
        <v>6200</v>
      </c>
      <c r="I28" s="120"/>
      <c r="J28" s="120"/>
      <c r="K28" s="441"/>
      <c r="L28" s="409"/>
      <c r="M28" s="341"/>
      <c r="N28" s="406"/>
    </row>
    <row r="29" spans="1:14" s="36" customFormat="1" ht="12.75">
      <c r="A29" s="329"/>
      <c r="B29" s="164"/>
      <c r="C29" s="120" t="s">
        <v>402</v>
      </c>
      <c r="D29" s="440">
        <f t="shared" si="2"/>
        <v>500000</v>
      </c>
      <c r="E29" s="440">
        <f t="shared" si="4"/>
        <v>500000</v>
      </c>
      <c r="F29" s="120">
        <f t="shared" si="3"/>
        <v>500000</v>
      </c>
      <c r="G29" s="120"/>
      <c r="H29" s="120">
        <v>500000</v>
      </c>
      <c r="I29" s="120"/>
      <c r="J29" s="120"/>
      <c r="K29" s="441"/>
      <c r="L29" s="409"/>
      <c r="M29" s="341"/>
      <c r="N29" s="406"/>
    </row>
    <row r="30" spans="1:14" s="36" customFormat="1" ht="12.75">
      <c r="A30" s="329"/>
      <c r="B30" s="164"/>
      <c r="C30" s="152" t="s">
        <v>317</v>
      </c>
      <c r="D30" s="442">
        <f t="shared" si="2"/>
        <v>3490000</v>
      </c>
      <c r="E30" s="442"/>
      <c r="F30" s="120"/>
      <c r="G30" s="152"/>
      <c r="H30" s="152"/>
      <c r="I30" s="152"/>
      <c r="J30" s="152"/>
      <c r="K30" s="413"/>
      <c r="L30" s="410">
        <f aca="true" t="shared" si="5" ref="L30:L39">SUM(M30:N30)</f>
        <v>3490000</v>
      </c>
      <c r="M30" s="373">
        <f>SUM(M31:M39)</f>
        <v>3490000</v>
      </c>
      <c r="N30" s="413">
        <f>SUM(N31:N39)</f>
        <v>0</v>
      </c>
    </row>
    <row r="31" spans="1:14" s="36" customFormat="1" ht="12.75">
      <c r="A31" s="503"/>
      <c r="B31" s="350"/>
      <c r="C31" s="166" t="s">
        <v>511</v>
      </c>
      <c r="D31" s="446">
        <v>530000</v>
      </c>
      <c r="E31" s="446"/>
      <c r="F31" s="120"/>
      <c r="G31" s="166"/>
      <c r="H31" s="166"/>
      <c r="I31" s="166"/>
      <c r="J31" s="166"/>
      <c r="K31" s="447"/>
      <c r="L31" s="414">
        <f t="shared" si="5"/>
        <v>530000</v>
      </c>
      <c r="M31" s="375">
        <f>30000+500000</f>
        <v>530000</v>
      </c>
      <c r="N31" s="406"/>
    </row>
    <row r="32" spans="1:14" s="36" customFormat="1" ht="12.75">
      <c r="A32" s="329"/>
      <c r="B32" s="164"/>
      <c r="C32" s="166" t="s">
        <v>528</v>
      </c>
      <c r="D32" s="446">
        <f t="shared" si="2"/>
        <v>500000</v>
      </c>
      <c r="E32" s="446"/>
      <c r="F32" s="120"/>
      <c r="G32" s="166"/>
      <c r="H32" s="166"/>
      <c r="I32" s="166"/>
      <c r="J32" s="166"/>
      <c r="K32" s="447"/>
      <c r="L32" s="414">
        <f t="shared" si="5"/>
        <v>500000</v>
      </c>
      <c r="M32" s="375">
        <v>500000</v>
      </c>
      <c r="N32" s="406"/>
    </row>
    <row r="33" spans="1:14" s="36" customFormat="1" ht="12.75">
      <c r="A33" s="329"/>
      <c r="B33" s="164"/>
      <c r="C33" s="166" t="s">
        <v>403</v>
      </c>
      <c r="D33" s="446">
        <f t="shared" si="2"/>
        <v>300000</v>
      </c>
      <c r="E33" s="446"/>
      <c r="F33" s="120"/>
      <c r="G33" s="166"/>
      <c r="H33" s="166"/>
      <c r="I33" s="166"/>
      <c r="J33" s="166"/>
      <c r="K33" s="447"/>
      <c r="L33" s="414">
        <f t="shared" si="5"/>
        <v>300000</v>
      </c>
      <c r="M33" s="375">
        <f>1000000-700000</f>
        <v>300000</v>
      </c>
      <c r="N33" s="406"/>
    </row>
    <row r="34" spans="1:14" s="36" customFormat="1" ht="12.75" customHeight="1">
      <c r="A34" s="329"/>
      <c r="B34" s="164"/>
      <c r="C34" s="166" t="s">
        <v>471</v>
      </c>
      <c r="D34" s="446">
        <f t="shared" si="2"/>
        <v>30000</v>
      </c>
      <c r="E34" s="446"/>
      <c r="F34" s="120"/>
      <c r="G34" s="166"/>
      <c r="H34" s="166"/>
      <c r="I34" s="166"/>
      <c r="J34" s="166"/>
      <c r="K34" s="447"/>
      <c r="L34" s="414">
        <f t="shared" si="5"/>
        <v>30000</v>
      </c>
      <c r="M34" s="375">
        <f>100000-70000</f>
        <v>30000</v>
      </c>
      <c r="N34" s="406"/>
    </row>
    <row r="35" spans="1:14" s="36" customFormat="1" ht="12.75">
      <c r="A35" s="329"/>
      <c r="B35" s="164"/>
      <c r="C35" s="166" t="s">
        <v>356</v>
      </c>
      <c r="D35" s="446">
        <f t="shared" si="2"/>
        <v>500000</v>
      </c>
      <c r="E35" s="446"/>
      <c r="F35" s="120"/>
      <c r="G35" s="166"/>
      <c r="H35" s="166"/>
      <c r="I35" s="166"/>
      <c r="J35" s="166"/>
      <c r="K35" s="447"/>
      <c r="L35" s="414">
        <f t="shared" si="5"/>
        <v>500000</v>
      </c>
      <c r="M35" s="375">
        <f>200000+300000</f>
        <v>500000</v>
      </c>
      <c r="N35" s="406"/>
    </row>
    <row r="36" spans="1:14" s="36" customFormat="1" ht="12.75">
      <c r="A36" s="329"/>
      <c r="B36" s="164"/>
      <c r="C36" s="166" t="s">
        <v>650</v>
      </c>
      <c r="D36" s="446">
        <f t="shared" si="2"/>
        <v>30000</v>
      </c>
      <c r="E36" s="446"/>
      <c r="F36" s="120"/>
      <c r="G36" s="166"/>
      <c r="H36" s="166"/>
      <c r="I36" s="166"/>
      <c r="J36" s="166"/>
      <c r="K36" s="447"/>
      <c r="L36" s="414">
        <f t="shared" si="5"/>
        <v>30000</v>
      </c>
      <c r="M36" s="375">
        <v>30000</v>
      </c>
      <c r="N36" s="406"/>
    </row>
    <row r="37" spans="1:14" s="36" customFormat="1" ht="12.75">
      <c r="A37" s="329"/>
      <c r="B37" s="164"/>
      <c r="C37" s="166" t="s">
        <v>652</v>
      </c>
      <c r="D37" s="446">
        <v>50000</v>
      </c>
      <c r="E37" s="446"/>
      <c r="F37" s="120"/>
      <c r="G37" s="166"/>
      <c r="H37" s="166"/>
      <c r="I37" s="166"/>
      <c r="J37" s="166"/>
      <c r="K37" s="447"/>
      <c r="L37" s="414">
        <f t="shared" si="5"/>
        <v>50000</v>
      </c>
      <c r="M37" s="375">
        <v>50000</v>
      </c>
      <c r="N37" s="406"/>
    </row>
    <row r="38" spans="1:14" s="36" customFormat="1" ht="25.5">
      <c r="A38" s="329"/>
      <c r="B38" s="164"/>
      <c r="C38" s="166" t="s">
        <v>653</v>
      </c>
      <c r="D38" s="446">
        <v>1050000</v>
      </c>
      <c r="E38" s="446"/>
      <c r="F38" s="120"/>
      <c r="G38" s="166"/>
      <c r="H38" s="166"/>
      <c r="I38" s="166"/>
      <c r="J38" s="166"/>
      <c r="K38" s="447"/>
      <c r="L38" s="414">
        <f t="shared" si="5"/>
        <v>1050000</v>
      </c>
      <c r="M38" s="375">
        <v>1050000</v>
      </c>
      <c r="N38" s="406"/>
    </row>
    <row r="39" spans="1:14" s="36" customFormat="1" ht="38.25">
      <c r="A39" s="504"/>
      <c r="B39" s="164"/>
      <c r="C39" s="166" t="s">
        <v>618</v>
      </c>
      <c r="D39" s="446">
        <f t="shared" si="2"/>
        <v>500000</v>
      </c>
      <c r="E39" s="446"/>
      <c r="F39" s="120"/>
      <c r="G39" s="166"/>
      <c r="H39" s="166"/>
      <c r="I39" s="166"/>
      <c r="J39" s="166"/>
      <c r="K39" s="447"/>
      <c r="L39" s="414">
        <f t="shared" si="5"/>
        <v>500000</v>
      </c>
      <c r="M39" s="375">
        <v>500000</v>
      </c>
      <c r="N39" s="406"/>
    </row>
    <row r="40" spans="1:14" s="36" customFormat="1" ht="15">
      <c r="A40" s="511">
        <v>700</v>
      </c>
      <c r="B40" s="505"/>
      <c r="C40" s="151" t="s">
        <v>193</v>
      </c>
      <c r="D40" s="448">
        <f t="shared" si="2"/>
        <v>7864203</v>
      </c>
      <c r="E40" s="448">
        <f>+E41+E54+E56</f>
        <v>3789100</v>
      </c>
      <c r="F40" s="151">
        <f>+F41+F54+F56</f>
        <v>3789100</v>
      </c>
      <c r="G40" s="151">
        <f>+G41+G54+G56</f>
        <v>20000</v>
      </c>
      <c r="H40" s="151">
        <f>+H41+H54+H56</f>
        <v>3769100</v>
      </c>
      <c r="I40" s="151">
        <f>+I41+I54+I56</f>
        <v>0</v>
      </c>
      <c r="J40" s="151"/>
      <c r="K40" s="416">
        <f>+K41+K54+K56</f>
        <v>0</v>
      </c>
      <c r="L40" s="415">
        <f>+M40+N40</f>
        <v>4075103</v>
      </c>
      <c r="M40" s="376">
        <f>+M41+M54+M56</f>
        <v>3275103</v>
      </c>
      <c r="N40" s="416">
        <f>+N41+N54+N56</f>
        <v>800000</v>
      </c>
    </row>
    <row r="41" spans="1:14" s="36" customFormat="1" ht="12.75">
      <c r="A41" s="512"/>
      <c r="B41" s="506">
        <v>70005</v>
      </c>
      <c r="C41" s="152" t="s">
        <v>195</v>
      </c>
      <c r="D41" s="442">
        <f t="shared" si="2"/>
        <v>1087203</v>
      </c>
      <c r="E41" s="442">
        <f>SUM(E42:E53)</f>
        <v>625000</v>
      </c>
      <c r="F41" s="152">
        <f>+G41+H41</f>
        <v>625000</v>
      </c>
      <c r="G41" s="152">
        <f>SUM(G42:G53)</f>
        <v>20000</v>
      </c>
      <c r="H41" s="152">
        <f>SUM(H42:H53)</f>
        <v>605000</v>
      </c>
      <c r="I41" s="152">
        <f>SUM(I42:I53)</f>
        <v>0</v>
      </c>
      <c r="J41" s="152"/>
      <c r="K41" s="413">
        <f>SUM(K42:K53)</f>
        <v>0</v>
      </c>
      <c r="L41" s="410">
        <f>+L51</f>
        <v>462203</v>
      </c>
      <c r="M41" s="373">
        <f>+M51</f>
        <v>462203</v>
      </c>
      <c r="N41" s="413">
        <f>+N51</f>
        <v>0</v>
      </c>
    </row>
    <row r="42" spans="1:14" s="36" customFormat="1" ht="12.75">
      <c r="A42" s="512"/>
      <c r="B42" s="507"/>
      <c r="C42" s="120" t="s">
        <v>416</v>
      </c>
      <c r="D42" s="446">
        <f t="shared" si="2"/>
        <v>20000</v>
      </c>
      <c r="E42" s="440">
        <f aca="true" t="shared" si="6" ref="E42:E50">+F42+I42+J42+K42</f>
        <v>20000</v>
      </c>
      <c r="F42" s="120">
        <f aca="true" t="shared" si="7" ref="F42:F50">+G42+H42</f>
        <v>20000</v>
      </c>
      <c r="G42" s="120">
        <v>20000</v>
      </c>
      <c r="H42" s="120"/>
      <c r="I42" s="120"/>
      <c r="J42" s="120"/>
      <c r="K42" s="441"/>
      <c r="L42" s="409"/>
      <c r="M42" s="341"/>
      <c r="N42" s="406"/>
    </row>
    <row r="43" spans="1:14" s="36" customFormat="1" ht="12.75">
      <c r="A43" s="512"/>
      <c r="B43" s="508"/>
      <c r="C43" s="170" t="s">
        <v>194</v>
      </c>
      <c r="D43" s="465">
        <f t="shared" si="2"/>
        <v>200000</v>
      </c>
      <c r="E43" s="440">
        <f t="shared" si="6"/>
        <v>200000</v>
      </c>
      <c r="F43" s="120">
        <f t="shared" si="7"/>
        <v>200000</v>
      </c>
      <c r="G43" s="170"/>
      <c r="H43" s="170">
        <v>200000</v>
      </c>
      <c r="I43" s="170"/>
      <c r="J43" s="170"/>
      <c r="K43" s="449"/>
      <c r="L43" s="417"/>
      <c r="M43" s="341"/>
      <c r="N43" s="406"/>
    </row>
    <row r="44" spans="1:14" s="36" customFormat="1" ht="12.75">
      <c r="A44" s="512"/>
      <c r="B44" s="507"/>
      <c r="C44" s="120" t="s">
        <v>635</v>
      </c>
      <c r="D44" s="446">
        <f t="shared" si="2"/>
        <v>85000</v>
      </c>
      <c r="E44" s="440">
        <f t="shared" si="6"/>
        <v>85000</v>
      </c>
      <c r="F44" s="120">
        <f t="shared" si="7"/>
        <v>85000</v>
      </c>
      <c r="G44" s="120"/>
      <c r="H44" s="120">
        <v>85000</v>
      </c>
      <c r="I44" s="120"/>
      <c r="J44" s="120"/>
      <c r="K44" s="441"/>
      <c r="L44" s="409"/>
      <c r="M44" s="341"/>
      <c r="N44" s="406"/>
    </row>
    <row r="45" spans="1:14" s="36" customFormat="1" ht="12.75">
      <c r="A45" s="512"/>
      <c r="B45" s="507"/>
      <c r="C45" s="120" t="s">
        <v>636</v>
      </c>
      <c r="D45" s="446">
        <f t="shared" si="2"/>
        <v>20000</v>
      </c>
      <c r="E45" s="440">
        <f t="shared" si="6"/>
        <v>20000</v>
      </c>
      <c r="F45" s="120">
        <f t="shared" si="7"/>
        <v>20000</v>
      </c>
      <c r="G45" s="120"/>
      <c r="H45" s="120">
        <v>20000</v>
      </c>
      <c r="I45" s="120"/>
      <c r="J45" s="120"/>
      <c r="K45" s="441"/>
      <c r="L45" s="409"/>
      <c r="M45" s="341"/>
      <c r="N45" s="406"/>
    </row>
    <row r="46" spans="1:14" s="36" customFormat="1" ht="12.75">
      <c r="A46" s="512"/>
      <c r="B46" s="507"/>
      <c r="C46" s="120" t="s">
        <v>196</v>
      </c>
      <c r="D46" s="446">
        <f t="shared" si="2"/>
        <v>60000</v>
      </c>
      <c r="E46" s="440">
        <f t="shared" si="6"/>
        <v>60000</v>
      </c>
      <c r="F46" s="120">
        <f t="shared" si="7"/>
        <v>60000</v>
      </c>
      <c r="G46" s="120"/>
      <c r="H46" s="120">
        <v>60000</v>
      </c>
      <c r="I46" s="120"/>
      <c r="J46" s="120"/>
      <c r="K46" s="441"/>
      <c r="L46" s="409"/>
      <c r="M46" s="341"/>
      <c r="N46" s="406"/>
    </row>
    <row r="47" spans="1:14" s="36" customFormat="1" ht="12.75">
      <c r="A47" s="512"/>
      <c r="B47" s="507"/>
      <c r="C47" s="120" t="s">
        <v>197</v>
      </c>
      <c r="D47" s="446">
        <f t="shared" si="2"/>
        <v>30000</v>
      </c>
      <c r="E47" s="440">
        <f t="shared" si="6"/>
        <v>30000</v>
      </c>
      <c r="F47" s="120">
        <f t="shared" si="7"/>
        <v>30000</v>
      </c>
      <c r="G47" s="120"/>
      <c r="H47" s="120">
        <v>30000</v>
      </c>
      <c r="I47" s="120"/>
      <c r="J47" s="120"/>
      <c r="K47" s="441"/>
      <c r="L47" s="409"/>
      <c r="M47" s="341"/>
      <c r="N47" s="406"/>
    </row>
    <row r="48" spans="1:14" s="36" customFormat="1" ht="12.75">
      <c r="A48" s="512"/>
      <c r="B48" s="507"/>
      <c r="C48" s="120" t="s">
        <v>198</v>
      </c>
      <c r="D48" s="446">
        <f t="shared" si="2"/>
        <v>50000</v>
      </c>
      <c r="E48" s="440">
        <f t="shared" si="6"/>
        <v>50000</v>
      </c>
      <c r="F48" s="120">
        <f t="shared" si="7"/>
        <v>50000</v>
      </c>
      <c r="G48" s="120"/>
      <c r="H48" s="120">
        <v>50000</v>
      </c>
      <c r="I48" s="120"/>
      <c r="J48" s="120"/>
      <c r="K48" s="441"/>
      <c r="L48" s="409"/>
      <c r="M48" s="341"/>
      <c r="N48" s="406"/>
    </row>
    <row r="49" spans="1:14" s="36" customFormat="1" ht="12.75">
      <c r="A49" s="512"/>
      <c r="B49" s="507"/>
      <c r="C49" s="171" t="s">
        <v>199</v>
      </c>
      <c r="D49" s="446">
        <f aca="true" t="shared" si="8" ref="D49:D73">+E49+L49</f>
        <v>25000</v>
      </c>
      <c r="E49" s="440">
        <f t="shared" si="6"/>
        <v>25000</v>
      </c>
      <c r="F49" s="120">
        <f t="shared" si="7"/>
        <v>25000</v>
      </c>
      <c r="G49" s="120"/>
      <c r="H49" s="120">
        <v>25000</v>
      </c>
      <c r="I49" s="120"/>
      <c r="J49" s="120"/>
      <c r="K49" s="441"/>
      <c r="L49" s="409"/>
      <c r="M49" s="341"/>
      <c r="N49" s="406"/>
    </row>
    <row r="50" spans="1:14" s="36" customFormat="1" ht="12.75">
      <c r="A50" s="512"/>
      <c r="B50" s="509"/>
      <c r="C50" s="172" t="s">
        <v>200</v>
      </c>
      <c r="D50" s="446">
        <f t="shared" si="8"/>
        <v>135000</v>
      </c>
      <c r="E50" s="440">
        <f t="shared" si="6"/>
        <v>135000</v>
      </c>
      <c r="F50" s="120">
        <f t="shared" si="7"/>
        <v>135000</v>
      </c>
      <c r="G50" s="117"/>
      <c r="H50" s="117">
        <f>90000*1.5</f>
        <v>135000</v>
      </c>
      <c r="I50" s="117"/>
      <c r="J50" s="117"/>
      <c r="K50" s="445"/>
      <c r="L50" s="412"/>
      <c r="M50" s="341"/>
      <c r="N50" s="406"/>
    </row>
    <row r="51" spans="1:14" s="36" customFormat="1" ht="12.75">
      <c r="A51" s="512"/>
      <c r="B51" s="509"/>
      <c r="C51" s="174" t="s">
        <v>317</v>
      </c>
      <c r="D51" s="452">
        <f t="shared" si="8"/>
        <v>462203</v>
      </c>
      <c r="E51" s="450"/>
      <c r="F51" s="117"/>
      <c r="G51" s="117"/>
      <c r="H51" s="117"/>
      <c r="I51" s="117"/>
      <c r="J51" s="117"/>
      <c r="K51" s="445"/>
      <c r="L51" s="418">
        <f>SUM(L52:L53)</f>
        <v>462203</v>
      </c>
      <c r="M51" s="390">
        <f>SUM(M52:M53)</f>
        <v>462203</v>
      </c>
      <c r="N51" s="411">
        <f>SUM(N52:N53)</f>
        <v>0</v>
      </c>
    </row>
    <row r="52" spans="1:14" s="36" customFormat="1" ht="12.75">
      <c r="A52" s="512"/>
      <c r="B52" s="509"/>
      <c r="C52" s="176" t="s">
        <v>401</v>
      </c>
      <c r="D52" s="450">
        <f t="shared" si="8"/>
        <v>200000</v>
      </c>
      <c r="E52" s="450"/>
      <c r="F52" s="117"/>
      <c r="G52" s="117"/>
      <c r="H52" s="117"/>
      <c r="I52" s="117"/>
      <c r="J52" s="117"/>
      <c r="K52" s="445"/>
      <c r="L52" s="419">
        <v>200000</v>
      </c>
      <c r="M52" s="379">
        <v>200000</v>
      </c>
      <c r="N52" s="406"/>
    </row>
    <row r="53" spans="1:14" s="36" customFormat="1" ht="12.75">
      <c r="A53" s="512"/>
      <c r="B53" s="509"/>
      <c r="C53" s="176" t="s">
        <v>343</v>
      </c>
      <c r="D53" s="446">
        <f t="shared" si="8"/>
        <v>262203</v>
      </c>
      <c r="E53" s="451"/>
      <c r="F53" s="119"/>
      <c r="G53" s="119"/>
      <c r="H53" s="119"/>
      <c r="I53" s="119"/>
      <c r="J53" s="119"/>
      <c r="K53" s="420"/>
      <c r="L53" s="419">
        <v>262203</v>
      </c>
      <c r="M53" s="379">
        <v>262203</v>
      </c>
      <c r="N53" s="406"/>
    </row>
    <row r="54" spans="1:14" s="36" customFormat="1" ht="12.75">
      <c r="A54" s="512"/>
      <c r="B54" s="510">
        <v>70021</v>
      </c>
      <c r="C54" s="174" t="s">
        <v>258</v>
      </c>
      <c r="D54" s="452">
        <f t="shared" si="8"/>
        <v>800000</v>
      </c>
      <c r="E54" s="452">
        <f>+E55</f>
        <v>0</v>
      </c>
      <c r="F54" s="175"/>
      <c r="G54" s="175"/>
      <c r="H54" s="175"/>
      <c r="I54" s="175"/>
      <c r="J54" s="175"/>
      <c r="K54" s="432"/>
      <c r="L54" s="418">
        <f>+M54+N54</f>
        <v>800000</v>
      </c>
      <c r="M54" s="389">
        <f>+M55</f>
        <v>0</v>
      </c>
      <c r="N54" s="411">
        <f>+N55</f>
        <v>800000</v>
      </c>
    </row>
    <row r="55" spans="1:14" s="36" customFormat="1" ht="12.75">
      <c r="A55" s="512"/>
      <c r="B55" s="509"/>
      <c r="C55" s="172" t="s">
        <v>259</v>
      </c>
      <c r="D55" s="450">
        <f t="shared" si="8"/>
        <v>800000</v>
      </c>
      <c r="E55" s="450"/>
      <c r="F55" s="117"/>
      <c r="G55" s="117"/>
      <c r="H55" s="117"/>
      <c r="I55" s="117"/>
      <c r="J55" s="117"/>
      <c r="K55" s="445"/>
      <c r="L55" s="419">
        <f>1200000-400000</f>
        <v>800000</v>
      </c>
      <c r="M55" s="391"/>
      <c r="N55" s="420">
        <f>1200000-400000</f>
        <v>800000</v>
      </c>
    </row>
    <row r="56" spans="1:14" s="36" customFormat="1" ht="12.75">
      <c r="A56" s="512"/>
      <c r="B56" s="510">
        <v>70095</v>
      </c>
      <c r="C56" s="174" t="s">
        <v>201</v>
      </c>
      <c r="D56" s="452">
        <f t="shared" si="8"/>
        <v>5977000</v>
      </c>
      <c r="E56" s="452">
        <f>+F56+I56+J56+K56</f>
        <v>3164100</v>
      </c>
      <c r="F56" s="175">
        <f>+G56+H56</f>
        <v>3164100</v>
      </c>
      <c r="G56" s="175"/>
      <c r="H56" s="175">
        <f>SUM(H57:H65)</f>
        <v>3164100</v>
      </c>
      <c r="I56" s="175"/>
      <c r="J56" s="175"/>
      <c r="K56" s="432"/>
      <c r="L56" s="418">
        <f>+M56+N56</f>
        <v>2812900</v>
      </c>
      <c r="M56" s="390">
        <f>+M66</f>
        <v>2812900</v>
      </c>
      <c r="N56" s="411">
        <f>+N66</f>
        <v>0</v>
      </c>
    </row>
    <row r="57" spans="1:14" s="36" customFormat="1" ht="25.5">
      <c r="A57" s="512"/>
      <c r="B57" s="509"/>
      <c r="C57" s="172" t="s">
        <v>374</v>
      </c>
      <c r="D57" s="446">
        <f t="shared" si="8"/>
        <v>85000</v>
      </c>
      <c r="E57" s="450">
        <f aca="true" t="shared" si="9" ref="E57:E65">+F57+I57+J57+K57</f>
        <v>85000</v>
      </c>
      <c r="F57" s="117">
        <f>+G57+H57</f>
        <v>85000</v>
      </c>
      <c r="G57" s="117"/>
      <c r="H57" s="117">
        <v>85000</v>
      </c>
      <c r="I57" s="117"/>
      <c r="J57" s="117"/>
      <c r="K57" s="445"/>
      <c r="L57" s="412"/>
      <c r="M57" s="341"/>
      <c r="N57" s="406"/>
    </row>
    <row r="58" spans="1:14" s="36" customFormat="1" ht="12.75">
      <c r="A58" s="512"/>
      <c r="B58" s="509"/>
      <c r="C58" s="172" t="s">
        <v>485</v>
      </c>
      <c r="D58" s="451">
        <f t="shared" si="8"/>
        <v>167000</v>
      </c>
      <c r="E58" s="453">
        <f t="shared" si="9"/>
        <v>167000</v>
      </c>
      <c r="F58" s="117">
        <f aca="true" t="shared" si="10" ref="F58:F65">+G58+H58</f>
        <v>167000</v>
      </c>
      <c r="G58" s="173"/>
      <c r="H58" s="173">
        <f>317000-150000</f>
        <v>167000</v>
      </c>
      <c r="I58" s="117"/>
      <c r="J58" s="117"/>
      <c r="K58" s="445"/>
      <c r="L58" s="412"/>
      <c r="M58" s="341"/>
      <c r="N58" s="406"/>
    </row>
    <row r="59" spans="1:14" s="36" customFormat="1" ht="12.75">
      <c r="A59" s="512"/>
      <c r="B59" s="507"/>
      <c r="C59" s="171" t="s">
        <v>202</v>
      </c>
      <c r="D59" s="446">
        <f t="shared" si="8"/>
        <v>1979500</v>
      </c>
      <c r="E59" s="440">
        <f t="shared" si="9"/>
        <v>1979500</v>
      </c>
      <c r="F59" s="117">
        <f t="shared" si="10"/>
        <v>1979500</v>
      </c>
      <c r="G59" s="120"/>
      <c r="H59" s="120">
        <f>1850000*1.07</f>
        <v>1979500</v>
      </c>
      <c r="I59" s="120"/>
      <c r="J59" s="120"/>
      <c r="K59" s="441"/>
      <c r="L59" s="409"/>
      <c r="M59" s="341"/>
      <c r="N59" s="406"/>
    </row>
    <row r="60" spans="1:14" s="36" customFormat="1" ht="12.75">
      <c r="A60" s="512"/>
      <c r="B60" s="509"/>
      <c r="C60" s="172" t="s">
        <v>369</v>
      </c>
      <c r="D60" s="446">
        <f t="shared" si="8"/>
        <v>500000</v>
      </c>
      <c r="E60" s="453">
        <f t="shared" si="9"/>
        <v>500000</v>
      </c>
      <c r="F60" s="117">
        <f t="shared" si="10"/>
        <v>500000</v>
      </c>
      <c r="G60" s="173"/>
      <c r="H60" s="173">
        <v>500000</v>
      </c>
      <c r="I60" s="117"/>
      <c r="J60" s="117"/>
      <c r="K60" s="445"/>
      <c r="L60" s="412"/>
      <c r="M60" s="341"/>
      <c r="N60" s="406"/>
    </row>
    <row r="61" spans="1:14" s="36" customFormat="1" ht="12.75">
      <c r="A61" s="512"/>
      <c r="B61" s="510"/>
      <c r="C61" s="172" t="s">
        <v>484</v>
      </c>
      <c r="D61" s="450">
        <f>+E61</f>
        <v>160000</v>
      </c>
      <c r="E61" s="450">
        <f t="shared" si="9"/>
        <v>160000</v>
      </c>
      <c r="F61" s="117">
        <f t="shared" si="10"/>
        <v>160000</v>
      </c>
      <c r="G61" s="117"/>
      <c r="H61" s="117">
        <v>160000</v>
      </c>
      <c r="I61" s="117"/>
      <c r="J61" s="117"/>
      <c r="K61" s="445"/>
      <c r="L61" s="412"/>
      <c r="M61" s="341"/>
      <c r="N61" s="406"/>
    </row>
    <row r="62" spans="1:14" s="36" customFormat="1" ht="12.75">
      <c r="A62" s="512"/>
      <c r="B62" s="510"/>
      <c r="C62" s="172" t="s">
        <v>558</v>
      </c>
      <c r="D62" s="450">
        <f>+E62</f>
        <v>2600</v>
      </c>
      <c r="E62" s="450">
        <f t="shared" si="9"/>
        <v>2600</v>
      </c>
      <c r="F62" s="117">
        <f t="shared" si="10"/>
        <v>2600</v>
      </c>
      <c r="G62" s="117"/>
      <c r="H62" s="117">
        <v>2600</v>
      </c>
      <c r="I62" s="117"/>
      <c r="J62" s="117"/>
      <c r="K62" s="445"/>
      <c r="L62" s="412"/>
      <c r="M62" s="341"/>
      <c r="N62" s="406"/>
    </row>
    <row r="63" spans="1:14" s="36" customFormat="1" ht="12.75">
      <c r="A63" s="512"/>
      <c r="B63" s="509"/>
      <c r="C63" s="172" t="s">
        <v>203</v>
      </c>
      <c r="D63" s="446">
        <f t="shared" si="8"/>
        <v>40000</v>
      </c>
      <c r="E63" s="450">
        <f t="shared" si="9"/>
        <v>40000</v>
      </c>
      <c r="F63" s="117">
        <f t="shared" si="10"/>
        <v>40000</v>
      </c>
      <c r="G63" s="117"/>
      <c r="H63" s="117">
        <v>40000</v>
      </c>
      <c r="I63" s="117"/>
      <c r="J63" s="117"/>
      <c r="K63" s="445"/>
      <c r="L63" s="412"/>
      <c r="M63" s="341"/>
      <c r="N63" s="406"/>
    </row>
    <row r="64" spans="1:14" s="36" customFormat="1" ht="12.75">
      <c r="A64" s="512"/>
      <c r="B64" s="509"/>
      <c r="C64" s="172" t="s">
        <v>207</v>
      </c>
      <c r="D64" s="446">
        <f t="shared" si="8"/>
        <v>80000</v>
      </c>
      <c r="E64" s="450">
        <f t="shared" si="9"/>
        <v>80000</v>
      </c>
      <c r="F64" s="117">
        <f t="shared" si="10"/>
        <v>80000</v>
      </c>
      <c r="G64" s="117"/>
      <c r="H64" s="117">
        <v>80000</v>
      </c>
      <c r="I64" s="117"/>
      <c r="J64" s="117"/>
      <c r="K64" s="445"/>
      <c r="L64" s="412"/>
      <c r="M64" s="341"/>
      <c r="N64" s="406"/>
    </row>
    <row r="65" spans="1:14" s="36" customFormat="1" ht="12.75">
      <c r="A65" s="512"/>
      <c r="B65" s="509"/>
      <c r="C65" s="117" t="s">
        <v>204</v>
      </c>
      <c r="D65" s="446">
        <f t="shared" si="8"/>
        <v>150000</v>
      </c>
      <c r="E65" s="450">
        <f t="shared" si="9"/>
        <v>150000</v>
      </c>
      <c r="F65" s="117">
        <f t="shared" si="10"/>
        <v>150000</v>
      </c>
      <c r="G65" s="117"/>
      <c r="H65" s="117">
        <v>150000</v>
      </c>
      <c r="I65" s="117"/>
      <c r="J65" s="117"/>
      <c r="K65" s="445"/>
      <c r="L65" s="412"/>
      <c r="M65" s="341"/>
      <c r="N65" s="406"/>
    </row>
    <row r="66" spans="1:14" s="36" customFormat="1" ht="12.75">
      <c r="A66" s="512"/>
      <c r="B66" s="509"/>
      <c r="C66" s="175" t="s">
        <v>205</v>
      </c>
      <c r="D66" s="452">
        <f>+L66</f>
        <v>2812900</v>
      </c>
      <c r="E66" s="450"/>
      <c r="F66" s="117"/>
      <c r="G66" s="117"/>
      <c r="H66" s="117"/>
      <c r="I66" s="117"/>
      <c r="J66" s="117"/>
      <c r="K66" s="445"/>
      <c r="L66" s="418">
        <f>+M66+N66</f>
        <v>2812900</v>
      </c>
      <c r="M66" s="390">
        <f>SUM(M67:M75)</f>
        <v>2812900</v>
      </c>
      <c r="N66" s="411">
        <f>SUM(N67:N75)</f>
        <v>0</v>
      </c>
    </row>
    <row r="67" spans="1:14" s="36" customFormat="1" ht="12.75">
      <c r="A67" s="512"/>
      <c r="B67" s="509"/>
      <c r="C67" s="172" t="s">
        <v>558</v>
      </c>
      <c r="D67" s="446">
        <f t="shared" si="8"/>
        <v>26900</v>
      </c>
      <c r="E67" s="450"/>
      <c r="F67" s="117"/>
      <c r="G67" s="117"/>
      <c r="H67" s="117"/>
      <c r="I67" s="117"/>
      <c r="J67" s="117"/>
      <c r="K67" s="445"/>
      <c r="L67" s="412">
        <f aca="true" t="shared" si="11" ref="L67:L74">+M67+N67</f>
        <v>26900</v>
      </c>
      <c r="M67" s="374">
        <v>26900</v>
      </c>
      <c r="N67" s="406"/>
    </row>
    <row r="68" spans="1:14" s="36" customFormat="1" ht="25.5">
      <c r="A68" s="512"/>
      <c r="B68" s="509"/>
      <c r="C68" s="119" t="s">
        <v>486</v>
      </c>
      <c r="D68" s="446">
        <f t="shared" si="8"/>
        <v>500000</v>
      </c>
      <c r="E68" s="450"/>
      <c r="F68" s="117"/>
      <c r="G68" s="117"/>
      <c r="H68" s="117"/>
      <c r="I68" s="117"/>
      <c r="J68" s="117"/>
      <c r="K68" s="445"/>
      <c r="L68" s="412">
        <f t="shared" si="11"/>
        <v>500000</v>
      </c>
      <c r="M68" s="374">
        <f>950000-450000</f>
        <v>500000</v>
      </c>
      <c r="N68" s="406"/>
    </row>
    <row r="69" spans="1:14" s="36" customFormat="1" ht="38.25">
      <c r="A69" s="512"/>
      <c r="B69" s="509"/>
      <c r="C69" s="119" t="s">
        <v>637</v>
      </c>
      <c r="D69" s="446">
        <f t="shared" si="8"/>
        <v>652000</v>
      </c>
      <c r="E69" s="450"/>
      <c r="F69" s="117"/>
      <c r="G69" s="117"/>
      <c r="H69" s="117"/>
      <c r="I69" s="117"/>
      <c r="J69" s="117"/>
      <c r="K69" s="445"/>
      <c r="L69" s="412">
        <f t="shared" si="11"/>
        <v>652000</v>
      </c>
      <c r="M69" s="374">
        <v>652000</v>
      </c>
      <c r="N69" s="406"/>
    </row>
    <row r="70" spans="1:14" s="36" customFormat="1" ht="25.5" customHeight="1">
      <c r="A70" s="512"/>
      <c r="B70" s="509"/>
      <c r="C70" s="119" t="s">
        <v>638</v>
      </c>
      <c r="D70" s="446">
        <f t="shared" si="8"/>
        <v>264000</v>
      </c>
      <c r="E70" s="450"/>
      <c r="F70" s="117"/>
      <c r="G70" s="117"/>
      <c r="H70" s="117"/>
      <c r="I70" s="117"/>
      <c r="J70" s="117"/>
      <c r="K70" s="445"/>
      <c r="L70" s="412">
        <f t="shared" si="11"/>
        <v>264000</v>
      </c>
      <c r="M70" s="374">
        <v>264000</v>
      </c>
      <c r="N70" s="406"/>
    </row>
    <row r="71" spans="1:14" s="36" customFormat="1" ht="38.25">
      <c r="A71" s="512"/>
      <c r="B71" s="509"/>
      <c r="C71" s="119" t="s">
        <v>620</v>
      </c>
      <c r="D71" s="446">
        <f t="shared" si="8"/>
        <v>100000</v>
      </c>
      <c r="E71" s="450"/>
      <c r="F71" s="117"/>
      <c r="G71" s="117"/>
      <c r="H71" s="117"/>
      <c r="I71" s="117"/>
      <c r="J71" s="117"/>
      <c r="K71" s="445"/>
      <c r="L71" s="412">
        <f t="shared" si="11"/>
        <v>100000</v>
      </c>
      <c r="M71" s="374">
        <f>980000-330000-550000</f>
        <v>100000</v>
      </c>
      <c r="N71" s="406"/>
    </row>
    <row r="72" spans="1:14" s="36" customFormat="1" ht="38.25">
      <c r="A72" s="512"/>
      <c r="B72" s="509"/>
      <c r="C72" s="119" t="s">
        <v>639</v>
      </c>
      <c r="D72" s="446">
        <f t="shared" si="8"/>
        <v>100000</v>
      </c>
      <c r="E72" s="450"/>
      <c r="F72" s="117"/>
      <c r="G72" s="117"/>
      <c r="H72" s="117"/>
      <c r="I72" s="117"/>
      <c r="J72" s="117"/>
      <c r="K72" s="445"/>
      <c r="L72" s="412">
        <f t="shared" si="11"/>
        <v>100000</v>
      </c>
      <c r="M72" s="374">
        <f>1190000-370000-720000</f>
        <v>100000</v>
      </c>
      <c r="N72" s="406"/>
    </row>
    <row r="73" spans="1:14" s="36" customFormat="1" ht="25.5">
      <c r="A73" s="512"/>
      <c r="B73" s="509"/>
      <c r="C73" s="119" t="s">
        <v>472</v>
      </c>
      <c r="D73" s="446">
        <f t="shared" si="8"/>
        <v>160000</v>
      </c>
      <c r="E73" s="450"/>
      <c r="F73" s="117"/>
      <c r="G73" s="117"/>
      <c r="H73" s="117"/>
      <c r="I73" s="117"/>
      <c r="J73" s="117"/>
      <c r="K73" s="445"/>
      <c r="L73" s="412">
        <f t="shared" si="11"/>
        <v>160000</v>
      </c>
      <c r="M73" s="374">
        <f>250000-90000</f>
        <v>160000</v>
      </c>
      <c r="N73" s="406"/>
    </row>
    <row r="74" spans="1:14" s="36" customFormat="1" ht="25.5">
      <c r="A74" s="512"/>
      <c r="B74" s="509"/>
      <c r="C74" s="119" t="s">
        <v>656</v>
      </c>
      <c r="D74" s="451">
        <v>10000</v>
      </c>
      <c r="E74" s="450"/>
      <c r="F74" s="117"/>
      <c r="G74" s="117"/>
      <c r="H74" s="117"/>
      <c r="I74" s="117"/>
      <c r="J74" s="117"/>
      <c r="K74" s="445"/>
      <c r="L74" s="412">
        <f t="shared" si="11"/>
        <v>10000</v>
      </c>
      <c r="M74" s="374">
        <v>10000</v>
      </c>
      <c r="N74" s="428"/>
    </row>
    <row r="75" spans="1:14" s="36" customFormat="1" ht="12.75">
      <c r="A75" s="513"/>
      <c r="B75" s="509"/>
      <c r="C75" s="119" t="s">
        <v>206</v>
      </c>
      <c r="D75" s="451">
        <f aca="true" t="shared" si="12" ref="D75:D96">+E75+L75</f>
        <v>1000000</v>
      </c>
      <c r="E75" s="451"/>
      <c r="F75" s="119"/>
      <c r="G75" s="119"/>
      <c r="H75" s="119"/>
      <c r="I75" s="119"/>
      <c r="J75" s="119"/>
      <c r="K75" s="420"/>
      <c r="L75" s="419">
        <v>1000000</v>
      </c>
      <c r="M75" s="379">
        <v>1000000</v>
      </c>
      <c r="N75" s="428"/>
    </row>
    <row r="76" spans="1:14" s="36" customFormat="1" ht="15">
      <c r="A76" s="167">
        <v>750</v>
      </c>
      <c r="B76" s="168"/>
      <c r="C76" s="151" t="s">
        <v>208</v>
      </c>
      <c r="D76" s="448">
        <f t="shared" si="12"/>
        <v>6360567</v>
      </c>
      <c r="E76" s="448">
        <f>+E77+E80+E84</f>
        <v>6260567</v>
      </c>
      <c r="F76" s="151">
        <f>+G76+H76</f>
        <v>5974567</v>
      </c>
      <c r="G76" s="151">
        <f>+G77+G80+G84</f>
        <v>4252500</v>
      </c>
      <c r="H76" s="151">
        <f>+H77+H80+H84</f>
        <v>1722067</v>
      </c>
      <c r="I76" s="151">
        <f>+I77+I80+I84</f>
        <v>0</v>
      </c>
      <c r="J76" s="151">
        <f>+J77+J80+J84</f>
        <v>286000</v>
      </c>
      <c r="K76" s="444">
        <f>+K77+K80+K84</f>
        <v>0</v>
      </c>
      <c r="L76" s="407">
        <f>+M76+N76</f>
        <v>100000</v>
      </c>
      <c r="M76" s="519">
        <f>+M77+M80+M84</f>
        <v>100000</v>
      </c>
      <c r="N76" s="520">
        <f>+N77+N80+N84</f>
        <v>0</v>
      </c>
    </row>
    <row r="77" spans="1:14" s="36" customFormat="1" ht="12.75">
      <c r="A77" s="179"/>
      <c r="B77" s="169">
        <v>75022</v>
      </c>
      <c r="C77" s="152" t="s">
        <v>407</v>
      </c>
      <c r="D77" s="442">
        <f t="shared" si="12"/>
        <v>296000</v>
      </c>
      <c r="E77" s="442">
        <f>+F77+I77+J77+K77</f>
        <v>296000</v>
      </c>
      <c r="F77" s="152">
        <f aca="true" t="shared" si="13" ref="F77:F135">+G77+H77</f>
        <v>16000</v>
      </c>
      <c r="G77" s="152">
        <f>+G78+G79</f>
        <v>2500</v>
      </c>
      <c r="H77" s="152">
        <f>+H78+H79</f>
        <v>13500</v>
      </c>
      <c r="I77" s="152"/>
      <c r="J77" s="152">
        <f>+J78</f>
        <v>280000</v>
      </c>
      <c r="K77" s="413"/>
      <c r="L77" s="410"/>
      <c r="M77" s="341"/>
      <c r="N77" s="406"/>
    </row>
    <row r="78" spans="1:14" s="36" customFormat="1" ht="12.75">
      <c r="A78" s="329"/>
      <c r="B78" s="164" t="s">
        <v>23</v>
      </c>
      <c r="C78" s="120" t="s">
        <v>209</v>
      </c>
      <c r="D78" s="440">
        <f t="shared" si="12"/>
        <v>280000</v>
      </c>
      <c r="E78" s="440">
        <f>+F78+I78+J78+K78</f>
        <v>280000</v>
      </c>
      <c r="F78" s="120">
        <f t="shared" si="13"/>
        <v>0</v>
      </c>
      <c r="G78" s="120"/>
      <c r="H78" s="120"/>
      <c r="I78" s="120"/>
      <c r="J78" s="120">
        <v>280000</v>
      </c>
      <c r="K78" s="441"/>
      <c r="L78" s="409"/>
      <c r="M78" s="386"/>
      <c r="N78" s="406"/>
    </row>
    <row r="79" spans="1:14" s="36" customFormat="1" ht="12.75">
      <c r="A79" s="329"/>
      <c r="B79" s="164"/>
      <c r="C79" s="120" t="s">
        <v>210</v>
      </c>
      <c r="D79" s="440">
        <f t="shared" si="12"/>
        <v>16000</v>
      </c>
      <c r="E79" s="440">
        <f>+F79+I79+J79+K79</f>
        <v>16000</v>
      </c>
      <c r="F79" s="120">
        <f t="shared" si="13"/>
        <v>16000</v>
      </c>
      <c r="G79" s="120">
        <v>2500</v>
      </c>
      <c r="H79" s="120">
        <v>13500</v>
      </c>
      <c r="I79" s="120"/>
      <c r="J79" s="120"/>
      <c r="K79" s="441"/>
      <c r="L79" s="409"/>
      <c r="M79" s="341"/>
      <c r="N79" s="406"/>
    </row>
    <row r="80" spans="1:14" s="36" customFormat="1" ht="12.75">
      <c r="A80" s="329"/>
      <c r="B80" s="177">
        <v>75023</v>
      </c>
      <c r="C80" s="175" t="s">
        <v>211</v>
      </c>
      <c r="D80" s="452">
        <f t="shared" si="12"/>
        <v>5735000</v>
      </c>
      <c r="E80" s="452">
        <f>+F80+I80+J80+K80</f>
        <v>5635000</v>
      </c>
      <c r="F80" s="175">
        <f t="shared" si="13"/>
        <v>5629000</v>
      </c>
      <c r="G80" s="175">
        <f>+G81</f>
        <v>4225000</v>
      </c>
      <c r="H80" s="175">
        <f>+H81</f>
        <v>1404000</v>
      </c>
      <c r="I80" s="175"/>
      <c r="J80" s="175">
        <f>+J81</f>
        <v>6000</v>
      </c>
      <c r="K80" s="432"/>
      <c r="L80" s="418">
        <f>+M80+N80</f>
        <v>100000</v>
      </c>
      <c r="M80" s="390">
        <f>+M82</f>
        <v>100000</v>
      </c>
      <c r="N80" s="411">
        <f>+N82</f>
        <v>0</v>
      </c>
    </row>
    <row r="81" spans="1:14" s="36" customFormat="1" ht="12.75">
      <c r="A81" s="329"/>
      <c r="B81" s="165"/>
      <c r="C81" s="117" t="s">
        <v>212</v>
      </c>
      <c r="D81" s="450">
        <f>+E81</f>
        <v>5635000</v>
      </c>
      <c r="E81" s="450">
        <f>+F81+I81+J81+K81</f>
        <v>5635000</v>
      </c>
      <c r="F81" s="117">
        <f t="shared" si="13"/>
        <v>5629000</v>
      </c>
      <c r="G81" s="117">
        <f>3775000+400000+50000</f>
        <v>4225000</v>
      </c>
      <c r="H81" s="117">
        <f>1324000+30000+50000</f>
        <v>1404000</v>
      </c>
      <c r="I81" s="117"/>
      <c r="J81" s="117">
        <v>6000</v>
      </c>
      <c r="K81" s="445"/>
      <c r="L81" s="412"/>
      <c r="M81" s="341"/>
      <c r="N81" s="406"/>
    </row>
    <row r="82" spans="1:14" s="36" customFormat="1" ht="12.75">
      <c r="A82" s="329"/>
      <c r="B82" s="165"/>
      <c r="C82" s="175" t="s">
        <v>317</v>
      </c>
      <c r="D82" s="452">
        <f t="shared" si="12"/>
        <v>100000</v>
      </c>
      <c r="E82" s="450"/>
      <c r="F82" s="117"/>
      <c r="G82" s="117"/>
      <c r="H82" s="117"/>
      <c r="I82" s="117"/>
      <c r="J82" s="117"/>
      <c r="K82" s="445"/>
      <c r="L82" s="418">
        <f>SUM(M82:N82)</f>
        <v>100000</v>
      </c>
      <c r="M82" s="389">
        <f>SUM(M83:M83)</f>
        <v>100000</v>
      </c>
      <c r="N82" s="422">
        <f>SUM(N83:N83)</f>
        <v>0</v>
      </c>
    </row>
    <row r="83" spans="1:14" s="36" customFormat="1" ht="12.75">
      <c r="A83" s="329"/>
      <c r="B83" s="164"/>
      <c r="C83" s="166" t="s">
        <v>213</v>
      </c>
      <c r="D83" s="440">
        <f t="shared" si="12"/>
        <v>100000</v>
      </c>
      <c r="E83" s="446"/>
      <c r="F83" s="166"/>
      <c r="G83" s="166" t="s">
        <v>23</v>
      </c>
      <c r="H83" s="166" t="s">
        <v>23</v>
      </c>
      <c r="I83" s="166"/>
      <c r="J83" s="166"/>
      <c r="K83" s="447"/>
      <c r="L83" s="414">
        <f>+M83+N83</f>
        <v>100000</v>
      </c>
      <c r="M83" s="341">
        <v>100000</v>
      </c>
      <c r="N83" s="406"/>
    </row>
    <row r="84" spans="1:14" s="36" customFormat="1" ht="12.75">
      <c r="A84" s="329"/>
      <c r="B84" s="177">
        <v>75075</v>
      </c>
      <c r="C84" s="175" t="s">
        <v>214</v>
      </c>
      <c r="D84" s="452">
        <f t="shared" si="12"/>
        <v>329567</v>
      </c>
      <c r="E84" s="452">
        <f>+E85</f>
        <v>329567</v>
      </c>
      <c r="F84" s="175">
        <f t="shared" si="13"/>
        <v>329567</v>
      </c>
      <c r="G84" s="175">
        <f>+G85</f>
        <v>25000</v>
      </c>
      <c r="H84" s="175">
        <f>+H85</f>
        <v>304567</v>
      </c>
      <c r="I84" s="175">
        <f>+I85</f>
        <v>0</v>
      </c>
      <c r="J84" s="175"/>
      <c r="K84" s="432">
        <f>+K85</f>
        <v>0</v>
      </c>
      <c r="L84" s="418"/>
      <c r="M84" s="387">
        <f>+M85</f>
        <v>0</v>
      </c>
      <c r="N84" s="406"/>
    </row>
    <row r="85" spans="1:14" s="36" customFormat="1" ht="12.75">
      <c r="A85" s="504"/>
      <c r="B85" s="165"/>
      <c r="C85" s="117" t="s">
        <v>215</v>
      </c>
      <c r="D85" s="450">
        <f t="shared" si="12"/>
        <v>329567</v>
      </c>
      <c r="E85" s="450">
        <f>+F85+I85+J85+K85</f>
        <v>329567</v>
      </c>
      <c r="F85" s="117">
        <f t="shared" si="13"/>
        <v>329567</v>
      </c>
      <c r="G85" s="117">
        <v>25000</v>
      </c>
      <c r="H85" s="117">
        <f>300000+4123-1500+1944</f>
        <v>304567</v>
      </c>
      <c r="I85" s="117"/>
      <c r="J85" s="117"/>
      <c r="K85" s="445"/>
      <c r="L85" s="412"/>
      <c r="M85" s="395"/>
      <c r="N85" s="428"/>
    </row>
    <row r="86" spans="1:14" s="36" customFormat="1" ht="30">
      <c r="A86" s="167">
        <v>754</v>
      </c>
      <c r="B86" s="178"/>
      <c r="C86" s="163" t="s">
        <v>248</v>
      </c>
      <c r="D86" s="443">
        <f t="shared" si="12"/>
        <v>720340</v>
      </c>
      <c r="E86" s="443">
        <f>+E87+E89+E94</f>
        <v>320340</v>
      </c>
      <c r="F86" s="163">
        <f t="shared" si="13"/>
        <v>278700</v>
      </c>
      <c r="G86" s="163">
        <f>+G87+G89+G94</f>
        <v>34500</v>
      </c>
      <c r="H86" s="163">
        <f>+H87+H89+H94</f>
        <v>244200</v>
      </c>
      <c r="I86" s="163">
        <f>+I87+I89+I94</f>
        <v>0</v>
      </c>
      <c r="J86" s="163">
        <f>+J87+J89+J94</f>
        <v>41640</v>
      </c>
      <c r="K86" s="444">
        <f>+K87+K89+K94</f>
        <v>0</v>
      </c>
      <c r="L86" s="424">
        <f>+M86+N86</f>
        <v>400000</v>
      </c>
      <c r="M86" s="517">
        <f>+M89+M94</f>
        <v>400000</v>
      </c>
      <c r="N86" s="518">
        <f>+N89+N94</f>
        <v>0</v>
      </c>
    </row>
    <row r="87" spans="1:14" s="36" customFormat="1" ht="12.75">
      <c r="A87" s="179"/>
      <c r="B87" s="180">
        <v>75404</v>
      </c>
      <c r="C87" s="116" t="s">
        <v>249</v>
      </c>
      <c r="D87" s="454">
        <f t="shared" si="12"/>
        <v>50000</v>
      </c>
      <c r="E87" s="454">
        <f>+E88</f>
        <v>50000</v>
      </c>
      <c r="F87" s="116">
        <f t="shared" si="13"/>
        <v>50000</v>
      </c>
      <c r="G87" s="116"/>
      <c r="H87" s="116">
        <f>+H88</f>
        <v>50000</v>
      </c>
      <c r="I87" s="116">
        <f>+I88</f>
        <v>0</v>
      </c>
      <c r="J87" s="116"/>
      <c r="K87" s="455"/>
      <c r="L87" s="425"/>
      <c r="M87" s="341"/>
      <c r="N87" s="406"/>
    </row>
    <row r="88" spans="1:14" s="36" customFormat="1" ht="12.75">
      <c r="A88" s="329"/>
      <c r="B88" s="165"/>
      <c r="C88" s="117" t="s">
        <v>250</v>
      </c>
      <c r="D88" s="450">
        <f t="shared" si="12"/>
        <v>50000</v>
      </c>
      <c r="E88" s="450">
        <f>+F88+I88+J88+K88</f>
        <v>50000</v>
      </c>
      <c r="F88" s="117">
        <f t="shared" si="13"/>
        <v>50000</v>
      </c>
      <c r="G88" s="117"/>
      <c r="H88" s="117">
        <v>50000</v>
      </c>
      <c r="I88" s="117">
        <v>0</v>
      </c>
      <c r="J88" s="117"/>
      <c r="K88" s="445"/>
      <c r="L88" s="412"/>
      <c r="M88" s="341"/>
      <c r="N88" s="406"/>
    </row>
    <row r="89" spans="1:14" s="36" customFormat="1" ht="12.75">
      <c r="A89" s="179"/>
      <c r="B89" s="177">
        <v>75412</v>
      </c>
      <c r="C89" s="175" t="s">
        <v>251</v>
      </c>
      <c r="D89" s="452">
        <f t="shared" si="12"/>
        <v>665340</v>
      </c>
      <c r="E89" s="452">
        <f>+E90</f>
        <v>265340</v>
      </c>
      <c r="F89" s="175">
        <f t="shared" si="13"/>
        <v>223700</v>
      </c>
      <c r="G89" s="175">
        <f>+G90</f>
        <v>34500</v>
      </c>
      <c r="H89" s="175">
        <f>+H90</f>
        <v>189200</v>
      </c>
      <c r="I89" s="175">
        <f>+I90</f>
        <v>0</v>
      </c>
      <c r="J89" s="175">
        <f>+J90</f>
        <v>41640</v>
      </c>
      <c r="K89" s="432">
        <f>+K90</f>
        <v>0</v>
      </c>
      <c r="L89" s="418">
        <f>SUM(L90:L91)</f>
        <v>400000</v>
      </c>
      <c r="M89" s="390">
        <f>+M91</f>
        <v>400000</v>
      </c>
      <c r="N89" s="411">
        <f>+N91</f>
        <v>0</v>
      </c>
    </row>
    <row r="90" spans="1:14" s="36" customFormat="1" ht="12.75">
      <c r="A90" s="329"/>
      <c r="B90" s="165"/>
      <c r="C90" s="117" t="s">
        <v>347</v>
      </c>
      <c r="D90" s="450">
        <f t="shared" si="12"/>
        <v>265340</v>
      </c>
      <c r="E90" s="450">
        <f>+F90+I90+J90+K90</f>
        <v>265340</v>
      </c>
      <c r="F90" s="117">
        <f t="shared" si="13"/>
        <v>223700</v>
      </c>
      <c r="G90" s="117">
        <v>34500</v>
      </c>
      <c r="H90" s="117">
        <v>189200</v>
      </c>
      <c r="I90" s="117"/>
      <c r="J90" s="117">
        <v>41640</v>
      </c>
      <c r="K90" s="445"/>
      <c r="L90" s="412">
        <v>0</v>
      </c>
      <c r="M90" s="341"/>
      <c r="N90" s="406"/>
    </row>
    <row r="91" spans="1:14" s="36" customFormat="1" ht="12.75">
      <c r="A91" s="329"/>
      <c r="B91" s="165"/>
      <c r="C91" s="181" t="s">
        <v>317</v>
      </c>
      <c r="D91" s="452">
        <f t="shared" si="12"/>
        <v>400000</v>
      </c>
      <c r="E91" s="450"/>
      <c r="F91" s="117">
        <f t="shared" si="13"/>
        <v>0</v>
      </c>
      <c r="G91" s="117"/>
      <c r="H91" s="117"/>
      <c r="I91" s="117"/>
      <c r="J91" s="117"/>
      <c r="K91" s="445"/>
      <c r="L91" s="418">
        <f>+M91+N91</f>
        <v>400000</v>
      </c>
      <c r="M91" s="390">
        <f>SUM(M92:M93)</f>
        <v>400000</v>
      </c>
      <c r="N91" s="422"/>
    </row>
    <row r="92" spans="1:14" s="36" customFormat="1" ht="12.75">
      <c r="A92" s="329"/>
      <c r="B92" s="165"/>
      <c r="C92" s="117" t="s">
        <v>473</v>
      </c>
      <c r="D92" s="450">
        <f>+E92+L92</f>
        <v>20000</v>
      </c>
      <c r="E92" s="450"/>
      <c r="F92" s="117">
        <f t="shared" si="13"/>
        <v>0</v>
      </c>
      <c r="G92" s="117"/>
      <c r="H92" s="117"/>
      <c r="I92" s="117"/>
      <c r="J92" s="117"/>
      <c r="K92" s="445"/>
      <c r="L92" s="412">
        <f>+M92+N92</f>
        <v>20000</v>
      </c>
      <c r="M92" s="374">
        <v>20000</v>
      </c>
      <c r="N92" s="406"/>
    </row>
    <row r="93" spans="1:14" s="36" customFormat="1" ht="12.75">
      <c r="A93" s="329"/>
      <c r="B93" s="165"/>
      <c r="C93" s="117" t="s">
        <v>404</v>
      </c>
      <c r="D93" s="450">
        <f>+E93+L93</f>
        <v>380000</v>
      </c>
      <c r="E93" s="450"/>
      <c r="F93" s="117">
        <f t="shared" si="13"/>
        <v>0</v>
      </c>
      <c r="G93" s="117"/>
      <c r="H93" s="117"/>
      <c r="I93" s="117"/>
      <c r="J93" s="117"/>
      <c r="K93" s="445"/>
      <c r="L93" s="412">
        <f>+M93+N93</f>
        <v>380000</v>
      </c>
      <c r="M93" s="374">
        <f>500000-70000-50000</f>
        <v>380000</v>
      </c>
      <c r="N93" s="406"/>
    </row>
    <row r="94" spans="1:14" s="36" customFormat="1" ht="12.75">
      <c r="A94" s="179"/>
      <c r="B94" s="177">
        <v>75414</v>
      </c>
      <c r="C94" s="175" t="s">
        <v>252</v>
      </c>
      <c r="D94" s="452">
        <f t="shared" si="12"/>
        <v>5000</v>
      </c>
      <c r="E94" s="452">
        <f>+E95</f>
        <v>5000</v>
      </c>
      <c r="F94" s="175">
        <f t="shared" si="13"/>
        <v>5000</v>
      </c>
      <c r="G94" s="175"/>
      <c r="H94" s="175">
        <f>+H95</f>
        <v>5000</v>
      </c>
      <c r="I94" s="175"/>
      <c r="J94" s="175"/>
      <c r="K94" s="432"/>
      <c r="L94" s="418">
        <f>+L95</f>
        <v>0</v>
      </c>
      <c r="M94" s="341"/>
      <c r="N94" s="406"/>
    </row>
    <row r="95" spans="1:14" s="36" customFormat="1" ht="12.75">
      <c r="A95" s="514"/>
      <c r="B95" s="177"/>
      <c r="C95" s="117" t="s">
        <v>412</v>
      </c>
      <c r="D95" s="450">
        <f>+E95+L95</f>
        <v>5000</v>
      </c>
      <c r="E95" s="450">
        <f>+F95+I95+J95+K95</f>
        <v>5000</v>
      </c>
      <c r="F95" s="117">
        <f t="shared" si="13"/>
        <v>5000</v>
      </c>
      <c r="G95" s="117"/>
      <c r="H95" s="117">
        <v>5000</v>
      </c>
      <c r="I95" s="175"/>
      <c r="J95" s="175"/>
      <c r="K95" s="432"/>
      <c r="L95" s="418"/>
      <c r="M95" s="395"/>
      <c r="N95" s="428"/>
    </row>
    <row r="96" spans="1:14" s="36" customFormat="1" ht="30" customHeight="1">
      <c r="A96" s="182">
        <v>756</v>
      </c>
      <c r="B96" s="161"/>
      <c r="C96" s="163" t="s">
        <v>413</v>
      </c>
      <c r="D96" s="443">
        <f t="shared" si="12"/>
        <v>99000</v>
      </c>
      <c r="E96" s="443">
        <f>+E97</f>
        <v>99000</v>
      </c>
      <c r="F96" s="163">
        <f t="shared" si="13"/>
        <v>99000</v>
      </c>
      <c r="G96" s="163">
        <f>+G97</f>
        <v>77500</v>
      </c>
      <c r="H96" s="163">
        <f>+H97</f>
        <v>21500</v>
      </c>
      <c r="I96" s="163"/>
      <c r="J96" s="163"/>
      <c r="K96" s="408"/>
      <c r="L96" s="407"/>
      <c r="M96" s="497"/>
      <c r="N96" s="498"/>
    </row>
    <row r="97" spans="1:14" s="36" customFormat="1" ht="12.75">
      <c r="A97" s="186"/>
      <c r="B97" s="159">
        <v>75647</v>
      </c>
      <c r="C97" s="160" t="s">
        <v>640</v>
      </c>
      <c r="D97" s="442">
        <f aca="true" t="shared" si="14" ref="D97:D125">+E97+L97</f>
        <v>99000</v>
      </c>
      <c r="E97" s="442">
        <f>+E98</f>
        <v>99000</v>
      </c>
      <c r="F97" s="152">
        <f t="shared" si="13"/>
        <v>99000</v>
      </c>
      <c r="G97" s="152">
        <f>+G98</f>
        <v>77500</v>
      </c>
      <c r="H97" s="152">
        <f>+H98</f>
        <v>21500</v>
      </c>
      <c r="I97" s="152"/>
      <c r="J97" s="152"/>
      <c r="K97" s="413"/>
      <c r="L97" s="410"/>
      <c r="M97" s="341"/>
      <c r="N97" s="406"/>
    </row>
    <row r="98" spans="1:14" s="36" customFormat="1" ht="12.75">
      <c r="A98" s="196"/>
      <c r="B98" s="201"/>
      <c r="C98" s="202" t="s">
        <v>216</v>
      </c>
      <c r="D98" s="462">
        <f t="shared" si="14"/>
        <v>99000</v>
      </c>
      <c r="E98" s="462">
        <f>+F98+I98+J98+K98</f>
        <v>99000</v>
      </c>
      <c r="F98" s="118">
        <f t="shared" si="13"/>
        <v>99000</v>
      </c>
      <c r="G98" s="118">
        <v>77500</v>
      </c>
      <c r="H98" s="118">
        <v>21500</v>
      </c>
      <c r="I98" s="118"/>
      <c r="J98" s="118"/>
      <c r="K98" s="463"/>
      <c r="L98" s="431"/>
      <c r="M98" s="403"/>
      <c r="N98" s="485"/>
    </row>
    <row r="99" spans="1:14" s="36" customFormat="1" ht="15">
      <c r="A99" s="182">
        <v>757</v>
      </c>
      <c r="B99" s="492"/>
      <c r="C99" s="493" t="s">
        <v>217</v>
      </c>
      <c r="D99" s="494">
        <f t="shared" si="14"/>
        <v>849800</v>
      </c>
      <c r="E99" s="494">
        <f>+E100</f>
        <v>849800</v>
      </c>
      <c r="F99" s="396">
        <f t="shared" si="13"/>
        <v>0</v>
      </c>
      <c r="G99" s="396"/>
      <c r="H99" s="396">
        <f>+H100</f>
        <v>0</v>
      </c>
      <c r="I99" s="396">
        <f>+I100</f>
        <v>0</v>
      </c>
      <c r="J99" s="396"/>
      <c r="K99" s="495">
        <f>+K100</f>
        <v>849800</v>
      </c>
      <c r="L99" s="496"/>
      <c r="M99" s="399"/>
      <c r="N99" s="487"/>
    </row>
    <row r="100" spans="1:14" s="36" customFormat="1" ht="12.75">
      <c r="A100" s="502"/>
      <c r="B100" s="154">
        <v>75702</v>
      </c>
      <c r="C100" s="155" t="s">
        <v>218</v>
      </c>
      <c r="D100" s="454">
        <f t="shared" si="14"/>
        <v>849800</v>
      </c>
      <c r="E100" s="454">
        <f>SUM(E101:E109)</f>
        <v>849800</v>
      </c>
      <c r="F100" s="116">
        <f t="shared" si="13"/>
        <v>0</v>
      </c>
      <c r="G100" s="116"/>
      <c r="H100" s="116"/>
      <c r="I100" s="116"/>
      <c r="J100" s="116"/>
      <c r="K100" s="455">
        <f>SUM(K101:K109)</f>
        <v>849800</v>
      </c>
      <c r="L100" s="425"/>
      <c r="M100" s="341"/>
      <c r="N100" s="406"/>
    </row>
    <row r="101" spans="1:14" s="36" customFormat="1" ht="12.75">
      <c r="A101" s="186"/>
      <c r="B101" s="187"/>
      <c r="C101" s="188" t="s">
        <v>451</v>
      </c>
      <c r="D101" s="450">
        <f t="shared" si="14"/>
        <v>24000</v>
      </c>
      <c r="E101" s="450">
        <f aca="true" t="shared" si="15" ref="E101:E109">+K101</f>
        <v>24000</v>
      </c>
      <c r="F101" s="117">
        <f t="shared" si="13"/>
        <v>0</v>
      </c>
      <c r="G101" s="117"/>
      <c r="H101" s="117"/>
      <c r="I101" s="117"/>
      <c r="J101" s="117"/>
      <c r="K101" s="445">
        <f>1200000*0.04/2</f>
        <v>24000</v>
      </c>
      <c r="L101" s="412"/>
      <c r="M101" s="341"/>
      <c r="N101" s="406"/>
    </row>
    <row r="102" spans="1:14" s="36" customFormat="1" ht="12.75">
      <c r="A102" s="186"/>
      <c r="B102" s="187"/>
      <c r="C102" s="188" t="s">
        <v>452</v>
      </c>
      <c r="D102" s="450">
        <f t="shared" si="14"/>
        <v>180000</v>
      </c>
      <c r="E102" s="450">
        <f t="shared" si="15"/>
        <v>180000</v>
      </c>
      <c r="F102" s="117">
        <f t="shared" si="13"/>
        <v>0</v>
      </c>
      <c r="G102" s="117"/>
      <c r="H102" s="117"/>
      <c r="I102" s="117"/>
      <c r="J102" s="117"/>
      <c r="K102" s="445">
        <f>4000000*0.045</f>
        <v>180000</v>
      </c>
      <c r="L102" s="412"/>
      <c r="M102" s="341"/>
      <c r="N102" s="406"/>
    </row>
    <row r="103" spans="1:14" s="36" customFormat="1" ht="12.75">
      <c r="A103" s="186"/>
      <c r="B103" s="187"/>
      <c r="C103" s="188" t="s">
        <v>364</v>
      </c>
      <c r="D103" s="450">
        <f t="shared" si="14"/>
        <v>25000</v>
      </c>
      <c r="E103" s="450">
        <f t="shared" si="15"/>
        <v>25000</v>
      </c>
      <c r="F103" s="117">
        <f t="shared" si="13"/>
        <v>0</v>
      </c>
      <c r="G103" s="117"/>
      <c r="H103" s="117"/>
      <c r="I103" s="117"/>
      <c r="J103" s="117"/>
      <c r="K103" s="445">
        <v>25000</v>
      </c>
      <c r="L103" s="412"/>
      <c r="M103" s="341"/>
      <c r="N103" s="406"/>
    </row>
    <row r="104" spans="1:14" s="36" customFormat="1" ht="12.75">
      <c r="A104" s="186"/>
      <c r="B104" s="187"/>
      <c r="C104" s="188" t="s">
        <v>365</v>
      </c>
      <c r="D104" s="450">
        <f t="shared" si="14"/>
        <v>10000</v>
      </c>
      <c r="E104" s="450">
        <f t="shared" si="15"/>
        <v>10000</v>
      </c>
      <c r="F104" s="117">
        <f t="shared" si="13"/>
        <v>0</v>
      </c>
      <c r="G104" s="117"/>
      <c r="H104" s="117"/>
      <c r="I104" s="117"/>
      <c r="J104" s="117"/>
      <c r="K104" s="445">
        <v>10000</v>
      </c>
      <c r="L104" s="412"/>
      <c r="M104" s="341"/>
      <c r="N104" s="406"/>
    </row>
    <row r="105" spans="1:14" s="36" customFormat="1" ht="12.75">
      <c r="A105" s="186"/>
      <c r="B105" s="187"/>
      <c r="C105" s="188" t="s">
        <v>453</v>
      </c>
      <c r="D105" s="450">
        <f t="shared" si="14"/>
        <v>10000</v>
      </c>
      <c r="E105" s="450">
        <f t="shared" si="15"/>
        <v>10000</v>
      </c>
      <c r="F105" s="117">
        <f t="shared" si="13"/>
        <v>0</v>
      </c>
      <c r="G105" s="117"/>
      <c r="H105" s="117"/>
      <c r="I105" s="117"/>
      <c r="J105" s="117"/>
      <c r="K105" s="445">
        <v>10000</v>
      </c>
      <c r="L105" s="412"/>
      <c r="M105" s="341"/>
      <c r="N105" s="406"/>
    </row>
    <row r="106" spans="1:14" s="36" customFormat="1" ht="12.75">
      <c r="A106" s="186"/>
      <c r="B106" s="187"/>
      <c r="C106" s="188" t="s">
        <v>527</v>
      </c>
      <c r="D106" s="450">
        <f t="shared" si="14"/>
        <v>250000</v>
      </c>
      <c r="E106" s="450">
        <f t="shared" si="15"/>
        <v>250000</v>
      </c>
      <c r="F106" s="117">
        <f t="shared" si="13"/>
        <v>0</v>
      </c>
      <c r="G106" s="117"/>
      <c r="H106" s="117"/>
      <c r="I106" s="117"/>
      <c r="J106" s="117"/>
      <c r="K106" s="445">
        <v>250000</v>
      </c>
      <c r="L106" s="412"/>
      <c r="M106" s="341"/>
      <c r="N106" s="406"/>
    </row>
    <row r="107" spans="1:14" s="36" customFormat="1" ht="12.75">
      <c r="A107" s="186"/>
      <c r="B107" s="187"/>
      <c r="C107" s="188" t="s">
        <v>366</v>
      </c>
      <c r="D107" s="450">
        <f t="shared" si="14"/>
        <v>240000</v>
      </c>
      <c r="E107" s="450">
        <f t="shared" si="15"/>
        <v>240000</v>
      </c>
      <c r="F107" s="117">
        <f t="shared" si="13"/>
        <v>0</v>
      </c>
      <c r="G107" s="117"/>
      <c r="H107" s="117"/>
      <c r="I107" s="117"/>
      <c r="J107" s="117"/>
      <c r="K107" s="445">
        <v>240000</v>
      </c>
      <c r="L107" s="412"/>
      <c r="M107" s="341"/>
      <c r="N107" s="406"/>
    </row>
    <row r="108" spans="1:14" s="36" customFormat="1" ht="12.75">
      <c r="A108" s="186"/>
      <c r="B108" s="187"/>
      <c r="C108" s="188" t="s">
        <v>526</v>
      </c>
      <c r="D108" s="450">
        <f t="shared" si="14"/>
        <v>65800</v>
      </c>
      <c r="E108" s="450">
        <f t="shared" si="15"/>
        <v>65800</v>
      </c>
      <c r="F108" s="117">
        <f t="shared" si="13"/>
        <v>0</v>
      </c>
      <c r="G108" s="117"/>
      <c r="H108" s="117"/>
      <c r="I108" s="117"/>
      <c r="J108" s="117"/>
      <c r="K108" s="445">
        <f>1880000*3.5%</f>
        <v>65800</v>
      </c>
      <c r="L108" s="412"/>
      <c r="M108" s="341"/>
      <c r="N108" s="406"/>
    </row>
    <row r="109" spans="1:14" s="36" customFormat="1" ht="12.75">
      <c r="A109" s="196"/>
      <c r="B109" s="187"/>
      <c r="C109" s="188" t="s">
        <v>362</v>
      </c>
      <c r="D109" s="450">
        <f t="shared" si="14"/>
        <v>45000</v>
      </c>
      <c r="E109" s="450">
        <f t="shared" si="15"/>
        <v>45000</v>
      </c>
      <c r="F109" s="117">
        <f t="shared" si="13"/>
        <v>0</v>
      </c>
      <c r="G109" s="117"/>
      <c r="H109" s="117"/>
      <c r="I109" s="117"/>
      <c r="J109" s="117"/>
      <c r="K109" s="445">
        <f>1000000*0.045</f>
        <v>45000</v>
      </c>
      <c r="L109" s="412"/>
      <c r="M109" s="395"/>
      <c r="N109" s="428"/>
    </row>
    <row r="110" spans="1:14" s="36" customFormat="1" ht="15">
      <c r="A110" s="182">
        <v>758</v>
      </c>
      <c r="B110" s="183"/>
      <c r="C110" s="184" t="s">
        <v>219</v>
      </c>
      <c r="D110" s="448">
        <f t="shared" si="14"/>
        <v>415000</v>
      </c>
      <c r="E110" s="448">
        <f>+E111</f>
        <v>415000</v>
      </c>
      <c r="F110" s="151">
        <f t="shared" si="13"/>
        <v>415000</v>
      </c>
      <c r="G110" s="151"/>
      <c r="H110" s="151">
        <f>+H111</f>
        <v>415000</v>
      </c>
      <c r="I110" s="151"/>
      <c r="J110" s="151"/>
      <c r="K110" s="416"/>
      <c r="L110" s="415">
        <f>+L111</f>
        <v>0</v>
      </c>
      <c r="M110" s="402"/>
      <c r="N110" s="484"/>
    </row>
    <row r="111" spans="1:14" s="36" customFormat="1" ht="12.75">
      <c r="A111" s="502"/>
      <c r="B111" s="159">
        <v>75818</v>
      </c>
      <c r="C111" s="160" t="s">
        <v>220</v>
      </c>
      <c r="D111" s="442">
        <f t="shared" si="14"/>
        <v>415000</v>
      </c>
      <c r="E111" s="442">
        <f>SUM(E112:E116)</f>
        <v>415000</v>
      </c>
      <c r="F111" s="152">
        <f t="shared" si="13"/>
        <v>415000</v>
      </c>
      <c r="G111" s="152">
        <f>SUM(G112:G116)</f>
        <v>0</v>
      </c>
      <c r="H111" s="152">
        <f>SUM(H112:H116)</f>
        <v>415000</v>
      </c>
      <c r="I111" s="152"/>
      <c r="J111" s="152"/>
      <c r="K111" s="413"/>
      <c r="L111" s="410"/>
      <c r="M111" s="341"/>
      <c r="N111" s="406"/>
    </row>
    <row r="112" spans="1:14" s="36" customFormat="1" ht="12.75">
      <c r="A112" s="186"/>
      <c r="B112" s="187"/>
      <c r="C112" s="188" t="s">
        <v>344</v>
      </c>
      <c r="D112" s="450">
        <f t="shared" si="14"/>
        <v>200000</v>
      </c>
      <c r="E112" s="450">
        <f>400000-200000</f>
        <v>200000</v>
      </c>
      <c r="F112" s="117">
        <f t="shared" si="13"/>
        <v>200000</v>
      </c>
      <c r="G112" s="117"/>
      <c r="H112" s="117">
        <f>400000-200000</f>
        <v>200000</v>
      </c>
      <c r="I112" s="117"/>
      <c r="J112" s="117"/>
      <c r="K112" s="445"/>
      <c r="L112" s="412"/>
      <c r="M112" s="341"/>
      <c r="N112" s="406"/>
    </row>
    <row r="113" spans="1:14" s="36" customFormat="1" ht="12.75">
      <c r="A113" s="186"/>
      <c r="B113" s="187"/>
      <c r="C113" s="188" t="s">
        <v>387</v>
      </c>
      <c r="D113" s="450">
        <f t="shared" si="14"/>
        <v>20000</v>
      </c>
      <c r="E113" s="450">
        <v>20000</v>
      </c>
      <c r="F113" s="117">
        <f t="shared" si="13"/>
        <v>20000</v>
      </c>
      <c r="G113" s="117"/>
      <c r="H113" s="117">
        <v>20000</v>
      </c>
      <c r="I113" s="117"/>
      <c r="J113" s="117"/>
      <c r="K113" s="445"/>
      <c r="L113" s="412"/>
      <c r="M113" s="341"/>
      <c r="N113" s="406"/>
    </row>
    <row r="114" spans="1:14" s="36" customFormat="1" ht="12.75">
      <c r="A114" s="186"/>
      <c r="B114" s="187"/>
      <c r="C114" s="188" t="s">
        <v>221</v>
      </c>
      <c r="D114" s="450">
        <f t="shared" si="14"/>
        <v>100000</v>
      </c>
      <c r="E114" s="453">
        <f>250000-150000</f>
        <v>100000</v>
      </c>
      <c r="F114" s="173">
        <f t="shared" si="13"/>
        <v>100000</v>
      </c>
      <c r="G114" s="173"/>
      <c r="H114" s="173">
        <f>250000-150000</f>
        <v>100000</v>
      </c>
      <c r="I114" s="117"/>
      <c r="J114" s="117"/>
      <c r="K114" s="445"/>
      <c r="L114" s="412"/>
      <c r="M114" s="341"/>
      <c r="N114" s="406"/>
    </row>
    <row r="115" spans="1:14" s="36" customFormat="1" ht="12.75" customHeight="1">
      <c r="A115" s="186"/>
      <c r="B115" s="187"/>
      <c r="C115" s="188" t="s">
        <v>222</v>
      </c>
      <c r="D115" s="450">
        <f t="shared" si="14"/>
        <v>45000</v>
      </c>
      <c r="E115" s="450">
        <v>45000</v>
      </c>
      <c r="F115" s="117">
        <f t="shared" si="13"/>
        <v>45000</v>
      </c>
      <c r="G115" s="117"/>
      <c r="H115" s="117">
        <v>45000</v>
      </c>
      <c r="I115" s="117"/>
      <c r="J115" s="117"/>
      <c r="K115" s="445"/>
      <c r="L115" s="412"/>
      <c r="M115" s="341"/>
      <c r="N115" s="406"/>
    </row>
    <row r="116" spans="1:14" s="36" customFormat="1" ht="12.75">
      <c r="A116" s="186"/>
      <c r="B116" s="157"/>
      <c r="C116" s="158" t="s">
        <v>641</v>
      </c>
      <c r="D116" s="440">
        <f t="shared" si="14"/>
        <v>50000</v>
      </c>
      <c r="E116" s="440">
        <f>100000-50000</f>
        <v>50000</v>
      </c>
      <c r="F116" s="120">
        <f t="shared" si="13"/>
        <v>50000</v>
      </c>
      <c r="G116" s="120"/>
      <c r="H116" s="120">
        <f>100000-50000</f>
        <v>50000</v>
      </c>
      <c r="I116" s="120"/>
      <c r="J116" s="120"/>
      <c r="K116" s="441"/>
      <c r="L116" s="409"/>
      <c r="M116" s="341"/>
      <c r="N116" s="406"/>
    </row>
    <row r="117" spans="1:14" s="36" customFormat="1" ht="15">
      <c r="A117" s="182">
        <v>801</v>
      </c>
      <c r="B117" s="183"/>
      <c r="C117" s="184" t="s">
        <v>223</v>
      </c>
      <c r="D117" s="448">
        <f t="shared" si="14"/>
        <v>17180660</v>
      </c>
      <c r="E117" s="448">
        <f>+E118+E131+E138+E141+E150+E152+E155+E159</f>
        <v>17180660</v>
      </c>
      <c r="F117" s="151">
        <f t="shared" si="13"/>
        <v>14912979</v>
      </c>
      <c r="G117" s="151">
        <f>+G118+G131+G138+G141+G150+G152+G155+G159</f>
        <v>11747787</v>
      </c>
      <c r="H117" s="151">
        <f>+H118+H131+H138+H141+H150+H152+H155+H159</f>
        <v>3165192</v>
      </c>
      <c r="I117" s="151">
        <f>+I118+I131+I138+I141+I150+I152+I155+I159</f>
        <v>1958180</v>
      </c>
      <c r="J117" s="151">
        <f>+J118+J131+J138+J141+J150+J152+J155+J159</f>
        <v>309501</v>
      </c>
      <c r="K117" s="416"/>
      <c r="L117" s="415">
        <f>+L118</f>
        <v>0</v>
      </c>
      <c r="M117" s="516"/>
      <c r="N117" s="484"/>
    </row>
    <row r="118" spans="1:14" s="36" customFormat="1" ht="12.75">
      <c r="A118" s="502"/>
      <c r="B118" s="159">
        <v>80101</v>
      </c>
      <c r="C118" s="160" t="s">
        <v>224</v>
      </c>
      <c r="D118" s="442">
        <f t="shared" si="14"/>
        <v>8563783</v>
      </c>
      <c r="E118" s="442">
        <f>+E119</f>
        <v>8563783</v>
      </c>
      <c r="F118" s="152">
        <f t="shared" si="13"/>
        <v>8427805</v>
      </c>
      <c r="G118" s="152">
        <f>+G119</f>
        <v>6783049</v>
      </c>
      <c r="H118" s="152">
        <f>+H119</f>
        <v>1644756</v>
      </c>
      <c r="I118" s="152"/>
      <c r="J118" s="152">
        <f>+J119</f>
        <v>135978</v>
      </c>
      <c r="K118" s="413"/>
      <c r="L118" s="410">
        <f>SUM(L119:L130)</f>
        <v>0</v>
      </c>
      <c r="M118" s="386"/>
      <c r="N118" s="427"/>
    </row>
    <row r="119" spans="1:14" s="36" customFormat="1" ht="12.75">
      <c r="A119" s="186"/>
      <c r="B119" s="157"/>
      <c r="C119" s="158" t="s">
        <v>225</v>
      </c>
      <c r="D119" s="440">
        <f t="shared" si="14"/>
        <v>8563783</v>
      </c>
      <c r="E119" s="440">
        <f>SUM(E121:E126)</f>
        <v>8563783</v>
      </c>
      <c r="F119" s="120">
        <f t="shared" si="13"/>
        <v>8427805</v>
      </c>
      <c r="G119" s="120">
        <f>SUM(G121:G125)</f>
        <v>6783049</v>
      </c>
      <c r="H119" s="120">
        <f>SUM(H121:H126)</f>
        <v>1644756</v>
      </c>
      <c r="I119" s="120"/>
      <c r="J119" s="120">
        <f>SUM(J121:J125)</f>
        <v>135978</v>
      </c>
      <c r="K119" s="441"/>
      <c r="L119" s="409"/>
      <c r="M119" s="341"/>
      <c r="N119" s="406"/>
    </row>
    <row r="120" spans="1:14" s="36" customFormat="1" ht="12.75">
      <c r="A120" s="186"/>
      <c r="B120" s="157"/>
      <c r="C120" s="158" t="s">
        <v>226</v>
      </c>
      <c r="D120" s="440">
        <f t="shared" si="14"/>
        <v>0</v>
      </c>
      <c r="E120" s="440"/>
      <c r="F120" s="120">
        <f t="shared" si="13"/>
        <v>0</v>
      </c>
      <c r="G120" s="120"/>
      <c r="H120" s="120"/>
      <c r="I120" s="120"/>
      <c r="J120" s="120"/>
      <c r="K120" s="441"/>
      <c r="L120" s="409"/>
      <c r="M120" s="341"/>
      <c r="N120" s="406"/>
    </row>
    <row r="121" spans="1:14" s="36" customFormat="1" ht="12.75">
      <c r="A121" s="186"/>
      <c r="B121" s="187"/>
      <c r="C121" s="189" t="s">
        <v>231</v>
      </c>
      <c r="D121" s="450">
        <f t="shared" si="14"/>
        <v>2432448</v>
      </c>
      <c r="E121" s="450">
        <f>+F121+I121+J121+K121</f>
        <v>2432448</v>
      </c>
      <c r="F121" s="117">
        <f t="shared" si="13"/>
        <v>2427760</v>
      </c>
      <c r="G121" s="117">
        <f>1490487+120000+293939+40277</f>
        <v>1944703</v>
      </c>
      <c r="H121" s="117">
        <f>502745-4688-15000</f>
        <v>483057</v>
      </c>
      <c r="I121" s="117"/>
      <c r="J121" s="117">
        <v>4688</v>
      </c>
      <c r="K121" s="445"/>
      <c r="L121" s="412"/>
      <c r="M121" s="341"/>
      <c r="N121" s="406"/>
    </row>
    <row r="122" spans="1:14" s="36" customFormat="1" ht="12.75">
      <c r="A122" s="186"/>
      <c r="B122" s="187"/>
      <c r="C122" s="189" t="s">
        <v>227</v>
      </c>
      <c r="D122" s="450">
        <f t="shared" si="14"/>
        <v>2371911</v>
      </c>
      <c r="E122" s="450">
        <f>+F122+I122+J122+K122</f>
        <v>2371911</v>
      </c>
      <c r="F122" s="117">
        <f t="shared" si="13"/>
        <v>2367606</v>
      </c>
      <c r="G122" s="117">
        <v>1846534</v>
      </c>
      <c r="H122" s="117">
        <f>545377-4305-20000</f>
        <v>521072</v>
      </c>
      <c r="I122" s="117"/>
      <c r="J122" s="117">
        <v>4305</v>
      </c>
      <c r="K122" s="445"/>
      <c r="L122" s="412"/>
      <c r="M122" s="341"/>
      <c r="N122" s="406"/>
    </row>
    <row r="123" spans="1:14" s="36" customFormat="1" ht="12.75">
      <c r="A123" s="186"/>
      <c r="B123" s="187"/>
      <c r="C123" s="189" t="s">
        <v>228</v>
      </c>
      <c r="D123" s="450">
        <f t="shared" si="14"/>
        <v>907828</v>
      </c>
      <c r="E123" s="450">
        <f>+F123+I123+J123+K123</f>
        <v>907828</v>
      </c>
      <c r="F123" s="173">
        <f t="shared" si="13"/>
        <v>867359</v>
      </c>
      <c r="G123" s="117">
        <v>805245</v>
      </c>
      <c r="H123" s="117">
        <f>102583-40469</f>
        <v>62114</v>
      </c>
      <c r="I123" s="117"/>
      <c r="J123" s="117">
        <v>40469</v>
      </c>
      <c r="K123" s="445"/>
      <c r="L123" s="412"/>
      <c r="M123" s="341"/>
      <c r="N123" s="406"/>
    </row>
    <row r="124" spans="1:14" s="36" customFormat="1" ht="12.75">
      <c r="A124" s="186"/>
      <c r="B124" s="187"/>
      <c r="C124" s="189" t="s">
        <v>229</v>
      </c>
      <c r="D124" s="450">
        <f t="shared" si="14"/>
        <v>1958565</v>
      </c>
      <c r="E124" s="450">
        <f>+F124+I124+J124+K124</f>
        <v>1958565</v>
      </c>
      <c r="F124" s="117">
        <f t="shared" si="13"/>
        <v>1909977</v>
      </c>
      <c r="G124" s="117">
        <v>1517851</v>
      </c>
      <c r="H124" s="117">
        <f>440714-48588</f>
        <v>392126</v>
      </c>
      <c r="I124" s="117"/>
      <c r="J124" s="117">
        <v>48588</v>
      </c>
      <c r="K124" s="441"/>
      <c r="L124" s="409"/>
      <c r="M124" s="341"/>
      <c r="N124" s="406"/>
    </row>
    <row r="125" spans="1:14" s="36" customFormat="1" ht="12.75">
      <c r="A125" s="186"/>
      <c r="B125" s="187"/>
      <c r="C125" s="189" t="s">
        <v>230</v>
      </c>
      <c r="D125" s="450">
        <f t="shared" si="14"/>
        <v>885531</v>
      </c>
      <c r="E125" s="450">
        <f>+F125+I125+J125+K125</f>
        <v>885531</v>
      </c>
      <c r="F125" s="117">
        <f t="shared" si="13"/>
        <v>847603</v>
      </c>
      <c r="G125" s="117">
        <v>668716</v>
      </c>
      <c r="H125" s="117">
        <f>216815-37928</f>
        <v>178887</v>
      </c>
      <c r="I125" s="117"/>
      <c r="J125" s="117">
        <v>37928</v>
      </c>
      <c r="K125" s="445"/>
      <c r="L125" s="412"/>
      <c r="M125" s="341"/>
      <c r="N125" s="406"/>
    </row>
    <row r="126" spans="1:14" s="36" customFormat="1" ht="12.75">
      <c r="A126" s="186"/>
      <c r="B126" s="187"/>
      <c r="C126" s="190" t="s">
        <v>370</v>
      </c>
      <c r="D126" s="452">
        <f>SUM(D127:D130)</f>
        <v>7500</v>
      </c>
      <c r="E126" s="452">
        <f>SUM(E127:E130)</f>
        <v>7500</v>
      </c>
      <c r="F126" s="175">
        <f t="shared" si="13"/>
        <v>7500</v>
      </c>
      <c r="G126" s="175"/>
      <c r="H126" s="175">
        <v>7500</v>
      </c>
      <c r="I126" s="175"/>
      <c r="J126" s="175"/>
      <c r="K126" s="432"/>
      <c r="L126" s="418"/>
      <c r="M126" s="341"/>
      <c r="N126" s="406"/>
    </row>
    <row r="127" spans="1:14" s="36" customFormat="1" ht="12.75">
      <c r="A127" s="186"/>
      <c r="B127" s="187"/>
      <c r="C127" s="188" t="s">
        <v>231</v>
      </c>
      <c r="D127" s="450">
        <f>+E127+L127</f>
        <v>1500</v>
      </c>
      <c r="E127" s="450">
        <f>+F127+I127+J127+K127</f>
        <v>1500</v>
      </c>
      <c r="F127" s="173">
        <f t="shared" si="13"/>
        <v>1500</v>
      </c>
      <c r="G127" s="173"/>
      <c r="H127" s="117">
        <v>1500</v>
      </c>
      <c r="I127" s="175"/>
      <c r="J127" s="175"/>
      <c r="K127" s="432"/>
      <c r="L127" s="418"/>
      <c r="M127" s="341"/>
      <c r="N127" s="406"/>
    </row>
    <row r="128" spans="1:14" s="36" customFormat="1" ht="12.75">
      <c r="A128" s="186"/>
      <c r="B128" s="187"/>
      <c r="C128" s="189" t="s">
        <v>227</v>
      </c>
      <c r="D128" s="450">
        <f>+E128+L128</f>
        <v>3000</v>
      </c>
      <c r="E128" s="450">
        <f>+F128+I128+J128+K128</f>
        <v>3000</v>
      </c>
      <c r="F128" s="173">
        <f t="shared" si="13"/>
        <v>3000</v>
      </c>
      <c r="G128" s="173"/>
      <c r="H128" s="117">
        <v>3000</v>
      </c>
      <c r="I128" s="175"/>
      <c r="J128" s="175"/>
      <c r="K128" s="432"/>
      <c r="L128" s="418"/>
      <c r="M128" s="341"/>
      <c r="N128" s="406"/>
    </row>
    <row r="129" spans="1:14" s="36" customFormat="1" ht="12.75">
      <c r="A129" s="186"/>
      <c r="B129" s="187"/>
      <c r="C129" s="189" t="s">
        <v>229</v>
      </c>
      <c r="D129" s="450">
        <f>+E129+L129</f>
        <v>1500</v>
      </c>
      <c r="E129" s="450">
        <f>+F129+I129+J129+K129</f>
        <v>1500</v>
      </c>
      <c r="F129" s="173">
        <f t="shared" si="13"/>
        <v>1500</v>
      </c>
      <c r="G129" s="173"/>
      <c r="H129" s="117">
        <v>1500</v>
      </c>
      <c r="I129" s="175"/>
      <c r="J129" s="175"/>
      <c r="K129" s="432"/>
      <c r="L129" s="418"/>
      <c r="M129" s="341"/>
      <c r="N129" s="406"/>
    </row>
    <row r="130" spans="1:14" s="36" customFormat="1" ht="12.75">
      <c r="A130" s="186"/>
      <c r="B130" s="187"/>
      <c r="C130" s="188" t="s">
        <v>230</v>
      </c>
      <c r="D130" s="450">
        <f>+E130+L130</f>
        <v>1500</v>
      </c>
      <c r="E130" s="450">
        <f>+F130+I130+J130+K130</f>
        <v>1500</v>
      </c>
      <c r="F130" s="173">
        <f t="shared" si="13"/>
        <v>1500</v>
      </c>
      <c r="G130" s="173"/>
      <c r="H130" s="117">
        <v>1500</v>
      </c>
      <c r="I130" s="175"/>
      <c r="J130" s="175"/>
      <c r="K130" s="432"/>
      <c r="L130" s="418"/>
      <c r="M130" s="341"/>
      <c r="N130" s="406"/>
    </row>
    <row r="131" spans="1:14" s="36" customFormat="1" ht="12.75">
      <c r="A131" s="502"/>
      <c r="B131" s="192">
        <v>80103</v>
      </c>
      <c r="C131" s="181" t="s">
        <v>409</v>
      </c>
      <c r="D131" s="452">
        <f>+E131+L131</f>
        <v>436721</v>
      </c>
      <c r="E131" s="452">
        <f>SUM(E133:E137)</f>
        <v>436721</v>
      </c>
      <c r="F131" s="175">
        <f t="shared" si="13"/>
        <v>427447</v>
      </c>
      <c r="G131" s="175">
        <f>SUM(G133:G137)</f>
        <v>403735</v>
      </c>
      <c r="H131" s="175">
        <f>SUM(H133:H137)</f>
        <v>23712</v>
      </c>
      <c r="I131" s="175"/>
      <c r="J131" s="175">
        <f>SUM(J133:J137)</f>
        <v>9274</v>
      </c>
      <c r="K131" s="432"/>
      <c r="L131" s="418"/>
      <c r="M131" s="341"/>
      <c r="N131" s="406"/>
    </row>
    <row r="132" spans="1:14" s="36" customFormat="1" ht="12.75">
      <c r="A132" s="186"/>
      <c r="B132" s="187"/>
      <c r="C132" s="189" t="s">
        <v>226</v>
      </c>
      <c r="D132" s="453"/>
      <c r="E132" s="453"/>
      <c r="F132" s="173">
        <f t="shared" si="13"/>
        <v>0</v>
      </c>
      <c r="G132" s="173"/>
      <c r="H132" s="117"/>
      <c r="I132" s="117"/>
      <c r="J132" s="117"/>
      <c r="K132" s="445"/>
      <c r="L132" s="412"/>
      <c r="M132" s="341"/>
      <c r="N132" s="406"/>
    </row>
    <row r="133" spans="1:14" s="36" customFormat="1" ht="12.75">
      <c r="A133" s="186"/>
      <c r="B133" s="157"/>
      <c r="C133" s="149" t="s">
        <v>231</v>
      </c>
      <c r="D133" s="458">
        <f aca="true" t="shared" si="16" ref="D133:D141">+E133+L133</f>
        <v>109696</v>
      </c>
      <c r="E133" s="458">
        <f>+F133+I133+J133</f>
        <v>109696</v>
      </c>
      <c r="F133" s="150">
        <f t="shared" si="13"/>
        <v>109468</v>
      </c>
      <c r="G133" s="120">
        <v>103918</v>
      </c>
      <c r="H133" s="120">
        <v>5550</v>
      </c>
      <c r="I133" s="120"/>
      <c r="J133" s="120">
        <v>228</v>
      </c>
      <c r="K133" s="441"/>
      <c r="L133" s="409"/>
      <c r="M133" s="341"/>
      <c r="N133" s="406"/>
    </row>
    <row r="134" spans="1:14" s="36" customFormat="1" ht="12.75">
      <c r="A134" s="186"/>
      <c r="B134" s="157"/>
      <c r="C134" s="149" t="s">
        <v>232</v>
      </c>
      <c r="D134" s="458">
        <f t="shared" si="16"/>
        <v>116840</v>
      </c>
      <c r="E134" s="458">
        <f>+F134+I134+J134</f>
        <v>116840</v>
      </c>
      <c r="F134" s="150">
        <f t="shared" si="13"/>
        <v>116587</v>
      </c>
      <c r="G134" s="120">
        <v>110280</v>
      </c>
      <c r="H134" s="120">
        <v>6307</v>
      </c>
      <c r="I134" s="120"/>
      <c r="J134" s="120">
        <v>253</v>
      </c>
      <c r="K134" s="441"/>
      <c r="L134" s="409"/>
      <c r="M134" s="341"/>
      <c r="N134" s="406"/>
    </row>
    <row r="135" spans="1:14" s="36" customFormat="1" ht="12.75">
      <c r="A135" s="186"/>
      <c r="B135" s="157"/>
      <c r="C135" s="149" t="s">
        <v>228</v>
      </c>
      <c r="D135" s="458">
        <f t="shared" si="16"/>
        <v>57246</v>
      </c>
      <c r="E135" s="458">
        <f>+F135+I135+J135</f>
        <v>57246</v>
      </c>
      <c r="F135" s="150">
        <f t="shared" si="13"/>
        <v>54024</v>
      </c>
      <c r="G135" s="120">
        <v>51234</v>
      </c>
      <c r="H135" s="120">
        <v>2790</v>
      </c>
      <c r="I135" s="120"/>
      <c r="J135" s="120">
        <v>3222</v>
      </c>
      <c r="K135" s="441"/>
      <c r="L135" s="409"/>
      <c r="M135" s="341"/>
      <c r="N135" s="406"/>
    </row>
    <row r="136" spans="1:14" s="36" customFormat="1" ht="12.75">
      <c r="A136" s="186"/>
      <c r="B136" s="157"/>
      <c r="C136" s="149" t="s">
        <v>229</v>
      </c>
      <c r="D136" s="458">
        <f t="shared" si="16"/>
        <v>93290</v>
      </c>
      <c r="E136" s="458">
        <f>+F136+I136+J136</f>
        <v>93290</v>
      </c>
      <c r="F136" s="150">
        <f aca="true" t="shared" si="17" ref="F136:F198">+G136+H136</f>
        <v>91036</v>
      </c>
      <c r="G136" s="120">
        <v>85092</v>
      </c>
      <c r="H136" s="120">
        <v>5944</v>
      </c>
      <c r="I136" s="120"/>
      <c r="J136" s="120">
        <v>2254</v>
      </c>
      <c r="K136" s="441"/>
      <c r="L136" s="409"/>
      <c r="M136" s="341"/>
      <c r="N136" s="406"/>
    </row>
    <row r="137" spans="1:14" s="36" customFormat="1" ht="12.75">
      <c r="A137" s="186"/>
      <c r="B137" s="157"/>
      <c r="C137" s="149" t="s">
        <v>230</v>
      </c>
      <c r="D137" s="458">
        <f t="shared" si="16"/>
        <v>59649</v>
      </c>
      <c r="E137" s="458">
        <f>+F137+I137+J137</f>
        <v>59649</v>
      </c>
      <c r="F137" s="150">
        <f t="shared" si="17"/>
        <v>56332</v>
      </c>
      <c r="G137" s="120">
        <v>53211</v>
      </c>
      <c r="H137" s="120">
        <v>3121</v>
      </c>
      <c r="I137" s="120"/>
      <c r="J137" s="120">
        <v>3317</v>
      </c>
      <c r="K137" s="441"/>
      <c r="L137" s="409"/>
      <c r="M137" s="341"/>
      <c r="N137" s="406"/>
    </row>
    <row r="138" spans="1:14" s="36" customFormat="1" ht="12.75">
      <c r="A138" s="186"/>
      <c r="B138" s="159">
        <v>80104</v>
      </c>
      <c r="C138" s="193" t="s">
        <v>243</v>
      </c>
      <c r="D138" s="459">
        <f t="shared" si="16"/>
        <v>1997040</v>
      </c>
      <c r="E138" s="459">
        <f>SUM(E139:E140)</f>
        <v>1997040</v>
      </c>
      <c r="F138" s="194">
        <f t="shared" si="17"/>
        <v>178860</v>
      </c>
      <c r="G138" s="152">
        <f>SUM(G139:G140)</f>
        <v>18860</v>
      </c>
      <c r="H138" s="152">
        <f>SUM(H139:H140)</f>
        <v>160000</v>
      </c>
      <c r="I138" s="152">
        <f>SUM(I139:I140)</f>
        <v>1818180</v>
      </c>
      <c r="J138" s="152"/>
      <c r="K138" s="413"/>
      <c r="L138" s="410"/>
      <c r="M138" s="341"/>
      <c r="N138" s="406"/>
    </row>
    <row r="139" spans="1:14" s="36" customFormat="1" ht="12.75" customHeight="1">
      <c r="A139" s="186"/>
      <c r="B139" s="157"/>
      <c r="C139" s="149" t="s">
        <v>244</v>
      </c>
      <c r="D139" s="458">
        <f t="shared" si="16"/>
        <v>1818180</v>
      </c>
      <c r="E139" s="458">
        <f>+F139+I139+J139</f>
        <v>1818180</v>
      </c>
      <c r="F139" s="150">
        <f t="shared" si="17"/>
        <v>0</v>
      </c>
      <c r="G139" s="150"/>
      <c r="H139" s="120"/>
      <c r="I139" s="120">
        <v>1818180</v>
      </c>
      <c r="J139" s="120"/>
      <c r="K139" s="441"/>
      <c r="L139" s="409"/>
      <c r="M139" s="341"/>
      <c r="N139" s="406"/>
    </row>
    <row r="140" spans="1:14" s="36" customFormat="1" ht="12.75">
      <c r="A140" s="186"/>
      <c r="B140" s="157"/>
      <c r="C140" s="149" t="s">
        <v>424</v>
      </c>
      <c r="D140" s="458">
        <f t="shared" si="16"/>
        <v>178860</v>
      </c>
      <c r="E140" s="458">
        <f>+F140+I140+J140</f>
        <v>178860</v>
      </c>
      <c r="F140" s="150">
        <f t="shared" si="17"/>
        <v>178860</v>
      </c>
      <c r="G140" s="120">
        <v>18860</v>
      </c>
      <c r="H140" s="120">
        <v>160000</v>
      </c>
      <c r="I140" s="120"/>
      <c r="J140" s="120"/>
      <c r="K140" s="441"/>
      <c r="L140" s="409"/>
      <c r="M140" s="341"/>
      <c r="N140" s="406"/>
    </row>
    <row r="141" spans="1:14" s="36" customFormat="1" ht="12.75">
      <c r="A141" s="186"/>
      <c r="B141" s="159">
        <v>80110</v>
      </c>
      <c r="C141" s="193" t="s">
        <v>233</v>
      </c>
      <c r="D141" s="459">
        <f t="shared" si="16"/>
        <v>4932554</v>
      </c>
      <c r="E141" s="459">
        <f>SUM(E143:E146)</f>
        <v>4932554</v>
      </c>
      <c r="F141" s="194">
        <f t="shared" si="17"/>
        <v>4883705</v>
      </c>
      <c r="G141" s="152">
        <f>SUM(G143:G146)</f>
        <v>3984234</v>
      </c>
      <c r="H141" s="152">
        <f>SUM(H143:H146)</f>
        <v>899471</v>
      </c>
      <c r="I141" s="152"/>
      <c r="J141" s="152">
        <f>SUM(J143:J145)</f>
        <v>48849</v>
      </c>
      <c r="K141" s="413"/>
      <c r="L141" s="410"/>
      <c r="M141" s="341"/>
      <c r="N141" s="406"/>
    </row>
    <row r="142" spans="1:14" s="36" customFormat="1" ht="12.75">
      <c r="A142" s="186"/>
      <c r="B142" s="157"/>
      <c r="C142" s="149" t="s">
        <v>234</v>
      </c>
      <c r="D142" s="458"/>
      <c r="E142" s="458"/>
      <c r="F142" s="150">
        <f t="shared" si="17"/>
        <v>0</v>
      </c>
      <c r="G142" s="150"/>
      <c r="H142" s="120"/>
      <c r="I142" s="120"/>
      <c r="J142" s="120"/>
      <c r="K142" s="441"/>
      <c r="L142" s="409"/>
      <c r="M142" s="341"/>
      <c r="N142" s="406"/>
    </row>
    <row r="143" spans="1:14" s="36" customFormat="1" ht="12.75">
      <c r="A143" s="186"/>
      <c r="B143" s="157"/>
      <c r="C143" s="149" t="s">
        <v>235</v>
      </c>
      <c r="D143" s="458">
        <f aca="true" t="shared" si="18" ref="D143:D149">+E143+L143</f>
        <v>1113839</v>
      </c>
      <c r="E143" s="458">
        <f>+F143+I143+J143</f>
        <v>1113839</v>
      </c>
      <c r="F143" s="150">
        <f t="shared" si="17"/>
        <v>1111277</v>
      </c>
      <c r="G143" s="120">
        <v>862829</v>
      </c>
      <c r="H143" s="120">
        <v>248448</v>
      </c>
      <c r="I143" s="120"/>
      <c r="J143" s="120">
        <v>2562</v>
      </c>
      <c r="K143" s="441"/>
      <c r="L143" s="409"/>
      <c r="M143" s="341"/>
      <c r="N143" s="406"/>
    </row>
    <row r="144" spans="1:14" s="36" customFormat="1" ht="12.75">
      <c r="A144" s="186"/>
      <c r="B144" s="157"/>
      <c r="C144" s="149" t="s">
        <v>236</v>
      </c>
      <c r="D144" s="458">
        <f t="shared" si="18"/>
        <v>2787544</v>
      </c>
      <c r="E144" s="458">
        <f>+F144+I144+J144</f>
        <v>2787544</v>
      </c>
      <c r="F144" s="150">
        <f t="shared" si="17"/>
        <v>2781834</v>
      </c>
      <c r="G144" s="120">
        <v>2329155</v>
      </c>
      <c r="H144" s="120">
        <f>467679-15000</f>
        <v>452679</v>
      </c>
      <c r="I144" s="120"/>
      <c r="J144" s="120">
        <v>5710</v>
      </c>
      <c r="K144" s="441"/>
      <c r="L144" s="409"/>
      <c r="M144" s="341"/>
      <c r="N144" s="406"/>
    </row>
    <row r="145" spans="1:14" s="36" customFormat="1" ht="12.75">
      <c r="A145" s="186"/>
      <c r="B145" s="187"/>
      <c r="C145" s="189" t="s">
        <v>237</v>
      </c>
      <c r="D145" s="453">
        <f>+E145+L145</f>
        <v>1026671</v>
      </c>
      <c r="E145" s="458">
        <f>+F145+I145+J145</f>
        <v>1026671</v>
      </c>
      <c r="F145" s="173">
        <f t="shared" si="17"/>
        <v>986094</v>
      </c>
      <c r="G145" s="117">
        <v>792250</v>
      </c>
      <c r="H145" s="120">
        <v>193844</v>
      </c>
      <c r="I145" s="117"/>
      <c r="J145" s="117">
        <v>40577</v>
      </c>
      <c r="K145" s="445"/>
      <c r="L145" s="412"/>
      <c r="M145" s="341"/>
      <c r="N145" s="406"/>
    </row>
    <row r="146" spans="1:14" s="36" customFormat="1" ht="12.75">
      <c r="A146" s="186"/>
      <c r="B146" s="187"/>
      <c r="C146" s="190" t="s">
        <v>370</v>
      </c>
      <c r="D146" s="460">
        <f t="shared" si="18"/>
        <v>4500</v>
      </c>
      <c r="E146" s="460">
        <f>SUM(E147:E149)</f>
        <v>4500</v>
      </c>
      <c r="F146" s="195">
        <f t="shared" si="17"/>
        <v>4500</v>
      </c>
      <c r="G146" s="195"/>
      <c r="H146" s="195">
        <f>SUM(H147:H149)</f>
        <v>4500</v>
      </c>
      <c r="I146" s="175"/>
      <c r="J146" s="175"/>
      <c r="K146" s="432"/>
      <c r="L146" s="418"/>
      <c r="M146" s="341"/>
      <c r="N146" s="406"/>
    </row>
    <row r="147" spans="1:14" s="36" customFormat="1" ht="12.75">
      <c r="A147" s="186"/>
      <c r="B147" s="187"/>
      <c r="C147" s="189" t="s">
        <v>235</v>
      </c>
      <c r="D147" s="453">
        <f t="shared" si="18"/>
        <v>1500</v>
      </c>
      <c r="E147" s="453">
        <v>1500</v>
      </c>
      <c r="F147" s="173">
        <f t="shared" si="17"/>
        <v>1500</v>
      </c>
      <c r="G147" s="173"/>
      <c r="H147" s="173">
        <v>1500</v>
      </c>
      <c r="I147" s="175"/>
      <c r="J147" s="175"/>
      <c r="K147" s="432"/>
      <c r="L147" s="418"/>
      <c r="M147" s="341"/>
      <c r="N147" s="406"/>
    </row>
    <row r="148" spans="1:14" s="36" customFormat="1" ht="12.75">
      <c r="A148" s="186"/>
      <c r="B148" s="187"/>
      <c r="C148" s="149" t="s">
        <v>236</v>
      </c>
      <c r="D148" s="453">
        <f t="shared" si="18"/>
        <v>1500</v>
      </c>
      <c r="E148" s="453">
        <v>1500</v>
      </c>
      <c r="F148" s="173">
        <f t="shared" si="17"/>
        <v>1500</v>
      </c>
      <c r="G148" s="173"/>
      <c r="H148" s="173">
        <v>1500</v>
      </c>
      <c r="I148" s="175"/>
      <c r="J148" s="175"/>
      <c r="K148" s="432"/>
      <c r="L148" s="418"/>
      <c r="M148" s="341"/>
      <c r="N148" s="406"/>
    </row>
    <row r="149" spans="1:14" s="36" customFormat="1" ht="12.75">
      <c r="A149" s="186"/>
      <c r="B149" s="187"/>
      <c r="C149" s="189" t="s">
        <v>237</v>
      </c>
      <c r="D149" s="453">
        <f t="shared" si="18"/>
        <v>1500</v>
      </c>
      <c r="E149" s="453">
        <v>1500</v>
      </c>
      <c r="F149" s="173">
        <f t="shared" si="17"/>
        <v>1500</v>
      </c>
      <c r="G149" s="173"/>
      <c r="H149" s="173">
        <v>1500</v>
      </c>
      <c r="I149" s="175"/>
      <c r="J149" s="175"/>
      <c r="K149" s="432"/>
      <c r="L149" s="418"/>
      <c r="M149" s="341"/>
      <c r="N149" s="406"/>
    </row>
    <row r="150" spans="1:14" s="36" customFormat="1" ht="12.75">
      <c r="A150" s="502"/>
      <c r="B150" s="192">
        <v>80113</v>
      </c>
      <c r="C150" s="190" t="s">
        <v>238</v>
      </c>
      <c r="D150" s="460">
        <f aca="true" t="shared" si="19" ref="D150:D156">+E150+L150</f>
        <v>172000</v>
      </c>
      <c r="E150" s="460">
        <f>+E151</f>
        <v>172000</v>
      </c>
      <c r="F150" s="195">
        <f t="shared" si="17"/>
        <v>172000</v>
      </c>
      <c r="G150" s="195"/>
      <c r="H150" s="175">
        <f>+H151</f>
        <v>172000</v>
      </c>
      <c r="I150" s="175"/>
      <c r="J150" s="175"/>
      <c r="K150" s="432"/>
      <c r="L150" s="418"/>
      <c r="M150" s="341"/>
      <c r="N150" s="406"/>
    </row>
    <row r="151" spans="1:14" s="36" customFormat="1" ht="12.75">
      <c r="A151" s="186"/>
      <c r="B151" s="187"/>
      <c r="C151" s="189" t="s">
        <v>239</v>
      </c>
      <c r="D151" s="453">
        <f t="shared" si="19"/>
        <v>172000</v>
      </c>
      <c r="E151" s="453">
        <f>+F151+I151+J151</f>
        <v>172000</v>
      </c>
      <c r="F151" s="173">
        <f t="shared" si="17"/>
        <v>172000</v>
      </c>
      <c r="G151" s="173"/>
      <c r="H151" s="173">
        <f>95000+77000</f>
        <v>172000</v>
      </c>
      <c r="I151" s="117"/>
      <c r="J151" s="117"/>
      <c r="K151" s="445"/>
      <c r="L151" s="412"/>
      <c r="M151" s="341"/>
      <c r="N151" s="406"/>
    </row>
    <row r="152" spans="1:14" s="36" customFormat="1" ht="12.75" customHeight="1">
      <c r="A152" s="186"/>
      <c r="B152" s="192">
        <v>80114</v>
      </c>
      <c r="C152" s="181" t="s">
        <v>240</v>
      </c>
      <c r="D152" s="452">
        <f t="shared" si="19"/>
        <v>702258</v>
      </c>
      <c r="E152" s="452">
        <f>SUM(E153:E154)</f>
        <v>702258</v>
      </c>
      <c r="F152" s="175">
        <f t="shared" si="17"/>
        <v>699758</v>
      </c>
      <c r="G152" s="175">
        <f>+G153+G154</f>
        <v>555909</v>
      </c>
      <c r="H152" s="175">
        <f>+H153+H154</f>
        <v>143849</v>
      </c>
      <c r="I152" s="175"/>
      <c r="J152" s="175">
        <f>+J153</f>
        <v>2500</v>
      </c>
      <c r="K152" s="432"/>
      <c r="L152" s="418"/>
      <c r="M152" s="341"/>
      <c r="N152" s="406"/>
    </row>
    <row r="153" spans="1:14" s="36" customFormat="1" ht="12.75" customHeight="1">
      <c r="A153" s="186"/>
      <c r="B153" s="192"/>
      <c r="C153" s="188" t="s">
        <v>242</v>
      </c>
      <c r="D153" s="450">
        <f>+E153+L153</f>
        <v>700758</v>
      </c>
      <c r="E153" s="450">
        <f>+F153+I153+J153</f>
        <v>700758</v>
      </c>
      <c r="F153" s="117">
        <f t="shared" si="17"/>
        <v>698258</v>
      </c>
      <c r="G153" s="117">
        <v>555909</v>
      </c>
      <c r="H153" s="117">
        <f>143849-1500</f>
        <v>142349</v>
      </c>
      <c r="I153" s="175"/>
      <c r="J153" s="117">
        <v>2500</v>
      </c>
      <c r="K153" s="432"/>
      <c r="L153" s="418"/>
      <c r="M153" s="341"/>
      <c r="N153" s="406"/>
    </row>
    <row r="154" spans="1:14" s="36" customFormat="1" ht="12.75">
      <c r="A154" s="186"/>
      <c r="B154" s="187"/>
      <c r="C154" s="188" t="s">
        <v>414</v>
      </c>
      <c r="D154" s="450">
        <f t="shared" si="19"/>
        <v>1500</v>
      </c>
      <c r="E154" s="450">
        <f>+F154+I154</f>
        <v>1500</v>
      </c>
      <c r="F154" s="117">
        <f t="shared" si="17"/>
        <v>1500</v>
      </c>
      <c r="G154" s="117"/>
      <c r="H154" s="117">
        <v>1500</v>
      </c>
      <c r="I154" s="117"/>
      <c r="J154" s="117"/>
      <c r="K154" s="445"/>
      <c r="L154" s="412"/>
      <c r="M154" s="341"/>
      <c r="N154" s="406"/>
    </row>
    <row r="155" spans="1:14" s="36" customFormat="1" ht="12.75">
      <c r="A155" s="502"/>
      <c r="B155" s="192">
        <v>80195</v>
      </c>
      <c r="C155" s="181" t="s">
        <v>201</v>
      </c>
      <c r="D155" s="452">
        <f t="shared" si="19"/>
        <v>236304</v>
      </c>
      <c r="E155" s="452">
        <f>+F155+I155+J155</f>
        <v>236304</v>
      </c>
      <c r="F155" s="175">
        <f t="shared" si="17"/>
        <v>123404</v>
      </c>
      <c r="G155" s="175">
        <f>SUM(G156:G158)</f>
        <v>2000</v>
      </c>
      <c r="H155" s="175">
        <f>SUM(H156:H158)</f>
        <v>121404</v>
      </c>
      <c r="I155" s="175"/>
      <c r="J155" s="175">
        <f>SUM(J156:J158)</f>
        <v>112900</v>
      </c>
      <c r="K155" s="432"/>
      <c r="L155" s="412"/>
      <c r="M155" s="341"/>
      <c r="N155" s="406"/>
    </row>
    <row r="156" spans="1:14" s="36" customFormat="1" ht="12.75">
      <c r="A156" s="186"/>
      <c r="B156" s="187"/>
      <c r="C156" s="188" t="s">
        <v>417</v>
      </c>
      <c r="D156" s="450">
        <f t="shared" si="19"/>
        <v>2500</v>
      </c>
      <c r="E156" s="450">
        <v>2500</v>
      </c>
      <c r="F156" s="117">
        <f t="shared" si="17"/>
        <v>2500</v>
      </c>
      <c r="G156" s="117">
        <v>2000</v>
      </c>
      <c r="H156" s="117">
        <v>500</v>
      </c>
      <c r="I156" s="117"/>
      <c r="J156" s="117"/>
      <c r="K156" s="445"/>
      <c r="L156" s="412"/>
      <c r="M156" s="341"/>
      <c r="N156" s="406"/>
    </row>
    <row r="157" spans="1:14" s="36" customFormat="1" ht="12.75">
      <c r="A157" s="186"/>
      <c r="B157" s="187"/>
      <c r="C157" s="188" t="s">
        <v>359</v>
      </c>
      <c r="D157" s="450">
        <f>+E157+L157</f>
        <v>112900</v>
      </c>
      <c r="E157" s="450">
        <v>112900</v>
      </c>
      <c r="F157" s="117">
        <f t="shared" si="17"/>
        <v>0</v>
      </c>
      <c r="G157" s="117"/>
      <c r="H157" s="117"/>
      <c r="I157" s="117"/>
      <c r="J157" s="117">
        <v>112900</v>
      </c>
      <c r="K157" s="445"/>
      <c r="L157" s="412"/>
      <c r="M157" s="341"/>
      <c r="N157" s="406"/>
    </row>
    <row r="158" spans="1:14" s="36" customFormat="1" ht="12.75">
      <c r="A158" s="186"/>
      <c r="B158" s="187"/>
      <c r="C158" s="188" t="s">
        <v>415</v>
      </c>
      <c r="D158" s="450">
        <f aca="true" t="shared" si="20" ref="D158:D169">+E158+L158</f>
        <v>120904</v>
      </c>
      <c r="E158" s="450">
        <v>120904</v>
      </c>
      <c r="F158" s="117">
        <f t="shared" si="17"/>
        <v>120904</v>
      </c>
      <c r="G158" s="117"/>
      <c r="H158" s="117">
        <v>120904</v>
      </c>
      <c r="I158" s="117"/>
      <c r="J158" s="117"/>
      <c r="K158" s="445"/>
      <c r="L158" s="412"/>
      <c r="M158" s="341"/>
      <c r="N158" s="406"/>
    </row>
    <row r="159" spans="1:14" s="36" customFormat="1" ht="12.75">
      <c r="A159" s="502"/>
      <c r="B159" s="192">
        <v>80197</v>
      </c>
      <c r="C159" s="181" t="s">
        <v>17</v>
      </c>
      <c r="D159" s="452">
        <f t="shared" si="20"/>
        <v>140000</v>
      </c>
      <c r="E159" s="452">
        <f>+F159+I159+J159</f>
        <v>140000</v>
      </c>
      <c r="F159" s="175">
        <f t="shared" si="17"/>
        <v>0</v>
      </c>
      <c r="G159" s="175"/>
      <c r="H159" s="175">
        <f>+H160</f>
        <v>0</v>
      </c>
      <c r="I159" s="175">
        <f>+I160</f>
        <v>140000</v>
      </c>
      <c r="J159" s="175"/>
      <c r="K159" s="432"/>
      <c r="L159" s="418"/>
      <c r="M159" s="341"/>
      <c r="N159" s="406"/>
    </row>
    <row r="160" spans="1:14" s="36" customFormat="1" ht="12.75">
      <c r="A160" s="196"/>
      <c r="B160" s="187"/>
      <c r="C160" s="188" t="s">
        <v>245</v>
      </c>
      <c r="D160" s="450">
        <f t="shared" si="20"/>
        <v>140000</v>
      </c>
      <c r="E160" s="450">
        <f>+F160+I160</f>
        <v>140000</v>
      </c>
      <c r="F160" s="117">
        <f t="shared" si="17"/>
        <v>0</v>
      </c>
      <c r="G160" s="117"/>
      <c r="H160" s="117"/>
      <c r="I160" s="117">
        <v>140000</v>
      </c>
      <c r="J160" s="117"/>
      <c r="K160" s="445"/>
      <c r="L160" s="412"/>
      <c r="M160" s="395"/>
      <c r="N160" s="428"/>
    </row>
    <row r="161" spans="1:14" s="36" customFormat="1" ht="15">
      <c r="A161" s="182">
        <v>851</v>
      </c>
      <c r="B161" s="183"/>
      <c r="C161" s="184" t="s">
        <v>246</v>
      </c>
      <c r="D161" s="448">
        <f t="shared" si="20"/>
        <v>930000</v>
      </c>
      <c r="E161" s="448">
        <f>+E162+E166+E168</f>
        <v>430000</v>
      </c>
      <c r="F161" s="151">
        <f t="shared" si="17"/>
        <v>430000</v>
      </c>
      <c r="G161" s="151">
        <f>+G162+G166+G168</f>
        <v>157800</v>
      </c>
      <c r="H161" s="151">
        <f>H162+H166+H168</f>
        <v>272200</v>
      </c>
      <c r="I161" s="163">
        <f>+I162+I166+I168</f>
        <v>0</v>
      </c>
      <c r="J161" s="163"/>
      <c r="K161" s="444"/>
      <c r="L161" s="424">
        <f>+M161+N161</f>
        <v>500000</v>
      </c>
      <c r="M161" s="151">
        <f>+M162+M166+M168</f>
        <v>0</v>
      </c>
      <c r="N161" s="429">
        <f>+N162+N166+N168</f>
        <v>500000</v>
      </c>
    </row>
    <row r="162" spans="1:14" s="36" customFormat="1" ht="12.75">
      <c r="A162" s="186"/>
      <c r="B162" s="159">
        <v>85121</v>
      </c>
      <c r="C162" s="160" t="s">
        <v>247</v>
      </c>
      <c r="D162" s="442">
        <f t="shared" si="20"/>
        <v>620000</v>
      </c>
      <c r="E162" s="442">
        <f>SUM(E163:E163)</f>
        <v>120000</v>
      </c>
      <c r="F162" s="152">
        <f t="shared" si="17"/>
        <v>120000</v>
      </c>
      <c r="G162" s="152">
        <f>+G163</f>
        <v>0</v>
      </c>
      <c r="H162" s="152">
        <f>+H163</f>
        <v>120000</v>
      </c>
      <c r="I162" s="152"/>
      <c r="J162" s="152"/>
      <c r="K162" s="413"/>
      <c r="L162" s="410">
        <f>+M162+N162</f>
        <v>500000</v>
      </c>
      <c r="M162" s="386"/>
      <c r="N162" s="411">
        <f>+N164</f>
        <v>500000</v>
      </c>
    </row>
    <row r="163" spans="1:14" s="36" customFormat="1" ht="12.75">
      <c r="A163" s="186"/>
      <c r="B163" s="159"/>
      <c r="C163" s="158" t="s">
        <v>363</v>
      </c>
      <c r="D163" s="440">
        <f t="shared" si="20"/>
        <v>120000</v>
      </c>
      <c r="E163" s="440">
        <f>150000-30000</f>
        <v>120000</v>
      </c>
      <c r="F163" s="120">
        <f t="shared" si="17"/>
        <v>120000</v>
      </c>
      <c r="G163" s="120"/>
      <c r="H163" s="120">
        <v>120000</v>
      </c>
      <c r="I163" s="152"/>
      <c r="J163" s="152"/>
      <c r="K163" s="413"/>
      <c r="L163" s="410"/>
      <c r="M163" s="386"/>
      <c r="N163" s="427"/>
    </row>
    <row r="164" spans="1:14" s="36" customFormat="1" ht="12.75">
      <c r="A164" s="186"/>
      <c r="B164" s="159"/>
      <c r="C164" s="160" t="s">
        <v>317</v>
      </c>
      <c r="D164" s="466">
        <f>+L164</f>
        <v>500000</v>
      </c>
      <c r="E164" s="440"/>
      <c r="F164" s="120">
        <f t="shared" si="17"/>
        <v>0</v>
      </c>
      <c r="G164" s="120"/>
      <c r="H164" s="120"/>
      <c r="I164" s="120"/>
      <c r="J164" s="120"/>
      <c r="K164" s="441"/>
      <c r="L164" s="410">
        <f>+L165</f>
        <v>500000</v>
      </c>
      <c r="M164" s="386"/>
      <c r="N164" s="411">
        <f>+N165</f>
        <v>500000</v>
      </c>
    </row>
    <row r="165" spans="1:14" s="36" customFormat="1" ht="12.75">
      <c r="A165" s="186"/>
      <c r="B165" s="159"/>
      <c r="C165" s="158" t="s">
        <v>259</v>
      </c>
      <c r="D165" s="440">
        <f>+E165+L165</f>
        <v>500000</v>
      </c>
      <c r="E165" s="440"/>
      <c r="F165" s="120">
        <f t="shared" si="17"/>
        <v>0</v>
      </c>
      <c r="G165" s="120"/>
      <c r="H165" s="120"/>
      <c r="I165" s="152"/>
      <c r="J165" s="152"/>
      <c r="K165" s="413"/>
      <c r="L165" s="409">
        <f>+M165+N165</f>
        <v>500000</v>
      </c>
      <c r="M165" s="386"/>
      <c r="N165" s="427">
        <f>400000+100000</f>
        <v>500000</v>
      </c>
    </row>
    <row r="166" spans="1:14" s="36" customFormat="1" ht="12.75">
      <c r="A166" s="186"/>
      <c r="B166" s="159">
        <v>85153</v>
      </c>
      <c r="C166" s="160" t="s">
        <v>253</v>
      </c>
      <c r="D166" s="442">
        <f t="shared" si="20"/>
        <v>43500</v>
      </c>
      <c r="E166" s="442">
        <f>+E167</f>
        <v>43500</v>
      </c>
      <c r="F166" s="152">
        <f t="shared" si="17"/>
        <v>43500</v>
      </c>
      <c r="G166" s="152">
        <f>+G167</f>
        <v>21100</v>
      </c>
      <c r="H166" s="152">
        <f>+H167</f>
        <v>22400</v>
      </c>
      <c r="I166" s="152"/>
      <c r="J166" s="152"/>
      <c r="K166" s="413"/>
      <c r="L166" s="410"/>
      <c r="M166" s="386"/>
      <c r="N166" s="427"/>
    </row>
    <row r="167" spans="1:14" s="36" customFormat="1" ht="12.75" customHeight="1">
      <c r="A167" s="186"/>
      <c r="B167" s="159"/>
      <c r="C167" s="158" t="s">
        <v>314</v>
      </c>
      <c r="D167" s="440">
        <f t="shared" si="20"/>
        <v>43500</v>
      </c>
      <c r="E167" s="440">
        <v>43500</v>
      </c>
      <c r="F167" s="120">
        <f t="shared" si="17"/>
        <v>43500</v>
      </c>
      <c r="G167" s="120">
        <v>21100</v>
      </c>
      <c r="H167" s="120">
        <v>22400</v>
      </c>
      <c r="I167" s="120"/>
      <c r="J167" s="120"/>
      <c r="K167" s="441"/>
      <c r="L167" s="409"/>
      <c r="M167" s="386"/>
      <c r="N167" s="427"/>
    </row>
    <row r="168" spans="1:14" s="36" customFormat="1" ht="12.75">
      <c r="A168" s="186"/>
      <c r="B168" s="159">
        <v>85154</v>
      </c>
      <c r="C168" s="160" t="s">
        <v>254</v>
      </c>
      <c r="D168" s="442">
        <f t="shared" si="20"/>
        <v>266500</v>
      </c>
      <c r="E168" s="442">
        <f>SUM(E169:E169)</f>
        <v>266500</v>
      </c>
      <c r="F168" s="152">
        <f t="shared" si="17"/>
        <v>266500</v>
      </c>
      <c r="G168" s="152">
        <f>+G169</f>
        <v>136700</v>
      </c>
      <c r="H168" s="152">
        <f>+H169</f>
        <v>129800</v>
      </c>
      <c r="I168" s="152"/>
      <c r="J168" s="152"/>
      <c r="K168" s="413"/>
      <c r="L168" s="410"/>
      <c r="M168" s="386"/>
      <c r="N168" s="427"/>
    </row>
    <row r="169" spans="1:14" s="36" customFormat="1" ht="25.5">
      <c r="A169" s="196"/>
      <c r="B169" s="187"/>
      <c r="C169" s="188" t="s">
        <v>315</v>
      </c>
      <c r="D169" s="450">
        <f t="shared" si="20"/>
        <v>266500</v>
      </c>
      <c r="E169" s="450">
        <f>241500+90000-65000</f>
        <v>266500</v>
      </c>
      <c r="F169" s="117">
        <f t="shared" si="17"/>
        <v>266500</v>
      </c>
      <c r="G169" s="117">
        <v>136700</v>
      </c>
      <c r="H169" s="117">
        <v>129800</v>
      </c>
      <c r="I169" s="117"/>
      <c r="J169" s="117"/>
      <c r="K169" s="445"/>
      <c r="L169" s="412"/>
      <c r="M169" s="395"/>
      <c r="N169" s="428"/>
    </row>
    <row r="170" spans="1:14" s="36" customFormat="1" ht="15">
      <c r="A170" s="182">
        <v>852</v>
      </c>
      <c r="B170" s="183"/>
      <c r="C170" s="184" t="s">
        <v>255</v>
      </c>
      <c r="D170" s="448">
        <f aca="true" t="shared" si="21" ref="D170:D205">+E170+L170</f>
        <v>3520346</v>
      </c>
      <c r="E170" s="448">
        <f>E171+E173+E174+E175+E176+E177+E179+E181+E183</f>
        <v>3520346</v>
      </c>
      <c r="F170" s="151">
        <f t="shared" si="17"/>
        <v>1727604</v>
      </c>
      <c r="G170" s="151">
        <f>G171+G173+G174+G175+G176+G177+G179+G181+G183</f>
        <v>605839</v>
      </c>
      <c r="H170" s="151">
        <f>H171+H173+H174+H175+H176+H177+H179+H181+H183</f>
        <v>1121765</v>
      </c>
      <c r="I170" s="151"/>
      <c r="J170" s="151">
        <f>+J173+J174+J175+J176+J177+J179+J181+J183</f>
        <v>1792742</v>
      </c>
      <c r="K170" s="416"/>
      <c r="L170" s="421"/>
      <c r="M170" s="402"/>
      <c r="N170" s="484"/>
    </row>
    <row r="171" spans="1:14" s="36" customFormat="1" ht="12.75">
      <c r="A171" s="186"/>
      <c r="B171" s="159">
        <v>85202</v>
      </c>
      <c r="C171" s="160" t="s">
        <v>256</v>
      </c>
      <c r="D171" s="442">
        <f t="shared" si="21"/>
        <v>271200</v>
      </c>
      <c r="E171" s="442">
        <f>+F171+I171+J171</f>
        <v>271200</v>
      </c>
      <c r="F171" s="152">
        <f t="shared" si="17"/>
        <v>271200</v>
      </c>
      <c r="G171" s="152">
        <f>+G172</f>
        <v>0</v>
      </c>
      <c r="H171" s="152">
        <f>+H172</f>
        <v>271200</v>
      </c>
      <c r="I171" s="152"/>
      <c r="J171" s="152"/>
      <c r="K171" s="413"/>
      <c r="L171" s="410"/>
      <c r="M171" s="341"/>
      <c r="N171" s="406"/>
    </row>
    <row r="172" spans="1:14" s="36" customFormat="1" ht="12.75">
      <c r="A172" s="186"/>
      <c r="B172" s="157"/>
      <c r="C172" s="158" t="s">
        <v>257</v>
      </c>
      <c r="D172" s="440">
        <f t="shared" si="21"/>
        <v>271200</v>
      </c>
      <c r="E172" s="440">
        <f>+F172+I172</f>
        <v>271200</v>
      </c>
      <c r="F172" s="120">
        <f t="shared" si="17"/>
        <v>271200</v>
      </c>
      <c r="G172" s="120"/>
      <c r="H172" s="120">
        <v>271200</v>
      </c>
      <c r="I172" s="120"/>
      <c r="J172" s="120"/>
      <c r="K172" s="441"/>
      <c r="L172" s="409"/>
      <c r="M172" s="341"/>
      <c r="N172" s="406"/>
    </row>
    <row r="173" spans="1:14" s="36" customFormat="1" ht="12.75">
      <c r="A173" s="186"/>
      <c r="B173" s="159">
        <v>85213</v>
      </c>
      <c r="C173" s="160" t="s">
        <v>483</v>
      </c>
      <c r="D173" s="442">
        <f t="shared" si="21"/>
        <v>41203</v>
      </c>
      <c r="E173" s="442">
        <v>41203</v>
      </c>
      <c r="F173" s="152">
        <f t="shared" si="17"/>
        <v>41203</v>
      </c>
      <c r="G173" s="152">
        <v>41203</v>
      </c>
      <c r="H173" s="152"/>
      <c r="I173" s="152"/>
      <c r="J173" s="152"/>
      <c r="K173" s="413"/>
      <c r="L173" s="410"/>
      <c r="M173" s="341"/>
      <c r="N173" s="406"/>
    </row>
    <row r="174" spans="1:14" s="36" customFormat="1" ht="12.75">
      <c r="A174" s="186"/>
      <c r="B174" s="159">
        <v>85214</v>
      </c>
      <c r="C174" s="160" t="s">
        <v>275</v>
      </c>
      <c r="D174" s="442">
        <f t="shared" si="21"/>
        <v>578000</v>
      </c>
      <c r="E174" s="442">
        <f>+F174+I174+J174</f>
        <v>578000</v>
      </c>
      <c r="F174" s="152">
        <f t="shared" si="17"/>
        <v>0</v>
      </c>
      <c r="G174" s="152"/>
      <c r="H174" s="152"/>
      <c r="I174" s="152"/>
      <c r="J174" s="152">
        <f>1002342-424342</f>
        <v>578000</v>
      </c>
      <c r="K174" s="413"/>
      <c r="L174" s="410"/>
      <c r="M174" s="341"/>
      <c r="N174" s="406"/>
    </row>
    <row r="175" spans="1:14" s="36" customFormat="1" ht="12.75">
      <c r="A175" s="186"/>
      <c r="B175" s="159">
        <v>85215</v>
      </c>
      <c r="C175" s="160" t="s">
        <v>276</v>
      </c>
      <c r="D175" s="442">
        <f t="shared" si="21"/>
        <v>525000</v>
      </c>
      <c r="E175" s="442">
        <f>+F175+I175+J175</f>
        <v>525000</v>
      </c>
      <c r="F175" s="152">
        <f t="shared" si="17"/>
        <v>0</v>
      </c>
      <c r="G175" s="152"/>
      <c r="H175" s="152"/>
      <c r="I175" s="152"/>
      <c r="J175" s="152">
        <f>500000*1.05</f>
        <v>525000</v>
      </c>
      <c r="K175" s="413"/>
      <c r="L175" s="410"/>
      <c r="M175" s="341"/>
      <c r="N175" s="406"/>
    </row>
    <row r="176" spans="1:14" s="36" customFormat="1" ht="12.75">
      <c r="A176" s="186"/>
      <c r="B176" s="159">
        <v>85216</v>
      </c>
      <c r="C176" s="160" t="s">
        <v>516</v>
      </c>
      <c r="D176" s="442">
        <f t="shared" si="21"/>
        <v>424342</v>
      </c>
      <c r="E176" s="442">
        <f>+F176+I176+J176</f>
        <v>424342</v>
      </c>
      <c r="F176" s="152">
        <f t="shared" si="17"/>
        <v>0</v>
      </c>
      <c r="G176" s="152"/>
      <c r="H176" s="152"/>
      <c r="I176" s="152"/>
      <c r="J176" s="152">
        <v>424342</v>
      </c>
      <c r="K176" s="413"/>
      <c r="L176" s="410"/>
      <c r="M176" s="341"/>
      <c r="N176" s="406"/>
    </row>
    <row r="177" spans="1:14" s="36" customFormat="1" ht="12.75">
      <c r="A177" s="186"/>
      <c r="B177" s="159">
        <v>85219</v>
      </c>
      <c r="C177" s="160" t="s">
        <v>277</v>
      </c>
      <c r="D177" s="442">
        <f t="shared" si="21"/>
        <v>697041</v>
      </c>
      <c r="E177" s="442">
        <f>+E178</f>
        <v>697041</v>
      </c>
      <c r="F177" s="152">
        <f t="shared" si="17"/>
        <v>671641</v>
      </c>
      <c r="G177" s="152">
        <f>+G178</f>
        <v>564636</v>
      </c>
      <c r="H177" s="152">
        <f>+H178</f>
        <v>107005</v>
      </c>
      <c r="I177" s="152"/>
      <c r="J177" s="152">
        <f>+J178</f>
        <v>25400</v>
      </c>
      <c r="K177" s="413"/>
      <c r="L177" s="410"/>
      <c r="M177" s="341"/>
      <c r="N177" s="406"/>
    </row>
    <row r="178" spans="1:14" s="36" customFormat="1" ht="12.75">
      <c r="A178" s="186"/>
      <c r="B178" s="157"/>
      <c r="C178" s="158" t="s">
        <v>278</v>
      </c>
      <c r="D178" s="440">
        <f t="shared" si="21"/>
        <v>697041</v>
      </c>
      <c r="E178" s="440">
        <v>697041</v>
      </c>
      <c r="F178" s="120">
        <f t="shared" si="17"/>
        <v>671641</v>
      </c>
      <c r="G178" s="120">
        <f>438405+34850+71673+11488+8220</f>
        <v>564636</v>
      </c>
      <c r="H178" s="120">
        <v>107005</v>
      </c>
      <c r="I178" s="120"/>
      <c r="J178" s="120">
        <v>25400</v>
      </c>
      <c r="K178" s="441"/>
      <c r="L178" s="409"/>
      <c r="M178" s="341"/>
      <c r="N178" s="406"/>
    </row>
    <row r="179" spans="1:14" s="36" customFormat="1" ht="12.75">
      <c r="A179" s="186"/>
      <c r="B179" s="159">
        <v>85220</v>
      </c>
      <c r="C179" s="160" t="s">
        <v>367</v>
      </c>
      <c r="D179" s="442">
        <f t="shared" si="21"/>
        <v>4800</v>
      </c>
      <c r="E179" s="442">
        <f>+F179+I179+J179</f>
        <v>4800</v>
      </c>
      <c r="F179" s="152">
        <f t="shared" si="17"/>
        <v>4800</v>
      </c>
      <c r="G179" s="152">
        <f>+G180</f>
        <v>0</v>
      </c>
      <c r="H179" s="152">
        <f>+H180</f>
        <v>4800</v>
      </c>
      <c r="I179" s="152"/>
      <c r="J179" s="152"/>
      <c r="K179" s="413"/>
      <c r="L179" s="410"/>
      <c r="M179" s="341"/>
      <c r="N179" s="406"/>
    </row>
    <row r="180" spans="1:14" s="36" customFormat="1" ht="12.75">
      <c r="A180" s="186"/>
      <c r="B180" s="157"/>
      <c r="C180" s="158" t="s">
        <v>368</v>
      </c>
      <c r="D180" s="440">
        <f t="shared" si="21"/>
        <v>4800</v>
      </c>
      <c r="E180" s="440">
        <f>+F180+I180+J180</f>
        <v>4800</v>
      </c>
      <c r="F180" s="120">
        <f t="shared" si="17"/>
        <v>4800</v>
      </c>
      <c r="G180" s="120"/>
      <c r="H180" s="120">
        <v>4800</v>
      </c>
      <c r="I180" s="120"/>
      <c r="J180" s="120"/>
      <c r="K180" s="441"/>
      <c r="L180" s="409"/>
      <c r="M180" s="341"/>
      <c r="N180" s="406"/>
    </row>
    <row r="181" spans="1:14" s="36" customFormat="1" ht="12.75">
      <c r="A181" s="186"/>
      <c r="B181" s="159">
        <v>85228</v>
      </c>
      <c r="C181" s="160" t="s">
        <v>279</v>
      </c>
      <c r="D181" s="442">
        <f t="shared" si="21"/>
        <v>738760</v>
      </c>
      <c r="E181" s="442">
        <f>+F181+I181+J181</f>
        <v>738760</v>
      </c>
      <c r="F181" s="152">
        <f t="shared" si="17"/>
        <v>738760</v>
      </c>
      <c r="G181" s="152"/>
      <c r="H181" s="152">
        <f>+H182</f>
        <v>738760</v>
      </c>
      <c r="I181" s="152"/>
      <c r="J181" s="152"/>
      <c r="K181" s="413"/>
      <c r="L181" s="410"/>
      <c r="M181" s="341"/>
      <c r="N181" s="406"/>
    </row>
    <row r="182" spans="1:14" s="36" customFormat="1" ht="12.75">
      <c r="A182" s="186"/>
      <c r="B182" s="157"/>
      <c r="C182" s="158" t="s">
        <v>280</v>
      </c>
      <c r="D182" s="440">
        <f t="shared" si="21"/>
        <v>738760</v>
      </c>
      <c r="E182" s="440">
        <f>+F182+I182+J182</f>
        <v>738760</v>
      </c>
      <c r="F182" s="120">
        <f t="shared" si="17"/>
        <v>738760</v>
      </c>
      <c r="G182" s="120"/>
      <c r="H182" s="120">
        <v>738760</v>
      </c>
      <c r="I182" s="120"/>
      <c r="J182" s="120"/>
      <c r="K182" s="441"/>
      <c r="L182" s="409"/>
      <c r="M182" s="341"/>
      <c r="N182" s="406"/>
    </row>
    <row r="183" spans="1:14" s="36" customFormat="1" ht="12.75">
      <c r="A183" s="186"/>
      <c r="B183" s="159">
        <v>85295</v>
      </c>
      <c r="C183" s="160" t="s">
        <v>201</v>
      </c>
      <c r="D183" s="442">
        <f t="shared" si="21"/>
        <v>240000</v>
      </c>
      <c r="E183" s="442">
        <f>+F183+J183</f>
        <v>240000</v>
      </c>
      <c r="F183" s="152">
        <f t="shared" si="17"/>
        <v>0</v>
      </c>
      <c r="G183" s="152"/>
      <c r="H183" s="152"/>
      <c r="I183" s="152"/>
      <c r="J183" s="152">
        <f>+J184</f>
        <v>240000</v>
      </c>
      <c r="K183" s="413"/>
      <c r="L183" s="410"/>
      <c r="M183" s="341"/>
      <c r="N183" s="406"/>
    </row>
    <row r="184" spans="1:14" s="36" customFormat="1" ht="12.75">
      <c r="A184" s="186"/>
      <c r="B184" s="187"/>
      <c r="C184" s="188" t="s">
        <v>281</v>
      </c>
      <c r="D184" s="450">
        <f t="shared" si="21"/>
        <v>240000</v>
      </c>
      <c r="E184" s="450">
        <f>+F184+J184</f>
        <v>240000</v>
      </c>
      <c r="F184" s="117">
        <f t="shared" si="17"/>
        <v>0</v>
      </c>
      <c r="G184" s="117"/>
      <c r="H184" s="117"/>
      <c r="I184" s="117"/>
      <c r="J184" s="117">
        <v>240000</v>
      </c>
      <c r="K184" s="445"/>
      <c r="L184" s="412"/>
      <c r="M184" s="395"/>
      <c r="N184" s="428"/>
    </row>
    <row r="185" spans="1:14" s="36" customFormat="1" ht="15">
      <c r="A185" s="182">
        <v>853</v>
      </c>
      <c r="B185" s="183"/>
      <c r="C185" s="184" t="s">
        <v>600</v>
      </c>
      <c r="D185" s="448">
        <f>+D186</f>
        <v>40000</v>
      </c>
      <c r="E185" s="644">
        <f>+F185+I185+J185</f>
        <v>0</v>
      </c>
      <c r="F185" s="151"/>
      <c r="G185" s="151"/>
      <c r="H185" s="151"/>
      <c r="I185" s="151"/>
      <c r="J185" s="151"/>
      <c r="K185" s="416"/>
      <c r="L185" s="415">
        <f>+M185+N185</f>
        <v>40000</v>
      </c>
      <c r="M185" s="645">
        <f>+M186</f>
        <v>40000</v>
      </c>
      <c r="N185" s="646">
        <f>+N186</f>
        <v>0</v>
      </c>
    </row>
    <row r="186" spans="1:14" s="36" customFormat="1" ht="12.75">
      <c r="A186" s="186"/>
      <c r="B186" s="192">
        <v>85395</v>
      </c>
      <c r="C186" s="181" t="s">
        <v>201</v>
      </c>
      <c r="D186" s="452">
        <f>+E186+L186</f>
        <v>40000</v>
      </c>
      <c r="E186" s="452">
        <f>+E187</f>
        <v>0</v>
      </c>
      <c r="F186" s="175">
        <f>+G186+H186</f>
        <v>0</v>
      </c>
      <c r="G186" s="175">
        <f>+G187</f>
        <v>0</v>
      </c>
      <c r="H186" s="175">
        <f>+H187</f>
        <v>0</v>
      </c>
      <c r="I186" s="175"/>
      <c r="J186" s="175"/>
      <c r="K186" s="432"/>
      <c r="L186" s="418">
        <f>+M186+N186</f>
        <v>40000</v>
      </c>
      <c r="M186" s="570">
        <f>+M187</f>
        <v>40000</v>
      </c>
      <c r="N186" s="569">
        <f>+N187</f>
        <v>0</v>
      </c>
    </row>
    <row r="187" spans="1:14" s="36" customFormat="1" ht="12.75">
      <c r="A187" s="196"/>
      <c r="B187" s="201"/>
      <c r="C187" s="202" t="s">
        <v>559</v>
      </c>
      <c r="D187" s="462">
        <f>+E187+L187</f>
        <v>40000</v>
      </c>
      <c r="E187" s="462"/>
      <c r="F187" s="118"/>
      <c r="G187" s="118"/>
      <c r="H187" s="118"/>
      <c r="I187" s="118"/>
      <c r="J187" s="118"/>
      <c r="K187" s="463"/>
      <c r="L187" s="431">
        <f>+M187+N187</f>
        <v>40000</v>
      </c>
      <c r="M187" s="403">
        <v>40000</v>
      </c>
      <c r="N187" s="485"/>
    </row>
    <row r="188" spans="1:14" s="36" customFormat="1" ht="15">
      <c r="A188" s="182">
        <v>854</v>
      </c>
      <c r="B188" s="183"/>
      <c r="C188" s="184" t="s">
        <v>260</v>
      </c>
      <c r="D188" s="448">
        <f t="shared" si="21"/>
        <v>616071</v>
      </c>
      <c r="E188" s="448">
        <f>+E189+E197+E199</f>
        <v>616071</v>
      </c>
      <c r="F188" s="151">
        <f t="shared" si="17"/>
        <v>600975</v>
      </c>
      <c r="G188" s="151">
        <f>+G189+G197+G199</f>
        <v>510183</v>
      </c>
      <c r="H188" s="151">
        <f>+H189+H197+H199</f>
        <v>90792</v>
      </c>
      <c r="I188" s="151">
        <f>+I189+I197+I199</f>
        <v>0</v>
      </c>
      <c r="J188" s="151">
        <f>+J189+J197+J199</f>
        <v>15096</v>
      </c>
      <c r="K188" s="456"/>
      <c r="L188" s="421"/>
      <c r="M188" s="402"/>
      <c r="N188" s="484"/>
    </row>
    <row r="189" spans="1:14" s="36" customFormat="1" ht="12.75">
      <c r="A189" s="502"/>
      <c r="B189" s="159">
        <v>85401</v>
      </c>
      <c r="C189" s="160" t="s">
        <v>261</v>
      </c>
      <c r="D189" s="442">
        <f t="shared" si="21"/>
        <v>532071</v>
      </c>
      <c r="E189" s="442">
        <f>+F189+I189+J189</f>
        <v>532071</v>
      </c>
      <c r="F189" s="152">
        <f t="shared" si="17"/>
        <v>516975</v>
      </c>
      <c r="G189" s="152">
        <f>SUM(G191:G196)</f>
        <v>485183</v>
      </c>
      <c r="H189" s="152">
        <f>SUM(H191:H196)</f>
        <v>31792</v>
      </c>
      <c r="I189" s="152">
        <f>SUM(I191:I196)</f>
        <v>0</v>
      </c>
      <c r="J189" s="152">
        <f>SUM(J191:J196)</f>
        <v>15096</v>
      </c>
      <c r="K189" s="413"/>
      <c r="L189" s="410"/>
      <c r="M189" s="341"/>
      <c r="N189" s="406"/>
    </row>
    <row r="190" spans="1:14" s="36" customFormat="1" ht="12.75">
      <c r="A190" s="186"/>
      <c r="B190" s="157"/>
      <c r="C190" s="158" t="s">
        <v>234</v>
      </c>
      <c r="D190" s="440">
        <f t="shared" si="21"/>
        <v>0</v>
      </c>
      <c r="E190" s="440"/>
      <c r="F190" s="120">
        <f t="shared" si="17"/>
        <v>0</v>
      </c>
      <c r="G190" s="120"/>
      <c r="H190" s="120"/>
      <c r="I190" s="120"/>
      <c r="J190" s="120"/>
      <c r="K190" s="441"/>
      <c r="L190" s="409"/>
      <c r="M190" s="341"/>
      <c r="N190" s="406"/>
    </row>
    <row r="191" spans="1:14" s="36" customFormat="1" ht="12.75">
      <c r="A191" s="186"/>
      <c r="B191" s="157"/>
      <c r="C191" s="149" t="s">
        <v>262</v>
      </c>
      <c r="D191" s="458">
        <f t="shared" si="21"/>
        <v>30046</v>
      </c>
      <c r="E191" s="458">
        <f aca="true" t="shared" si="22" ref="E191:E196">+F191+J191</f>
        <v>30046</v>
      </c>
      <c r="F191" s="150">
        <f t="shared" si="17"/>
        <v>29987</v>
      </c>
      <c r="G191" s="120">
        <v>28589</v>
      </c>
      <c r="H191" s="120">
        <v>1398</v>
      </c>
      <c r="I191" s="120"/>
      <c r="J191" s="120">
        <v>59</v>
      </c>
      <c r="K191" s="441"/>
      <c r="L191" s="409"/>
      <c r="M191" s="341"/>
      <c r="N191" s="406"/>
    </row>
    <row r="192" spans="1:14" s="36" customFormat="1" ht="12.75">
      <c r="A192" s="186"/>
      <c r="B192" s="157"/>
      <c r="C192" s="149" t="s">
        <v>263</v>
      </c>
      <c r="D192" s="458">
        <f t="shared" si="21"/>
        <v>128729</v>
      </c>
      <c r="E192" s="458">
        <f t="shared" si="22"/>
        <v>128729</v>
      </c>
      <c r="F192" s="150">
        <f t="shared" si="17"/>
        <v>119732</v>
      </c>
      <c r="G192" s="120">
        <v>111687</v>
      </c>
      <c r="H192" s="120">
        <v>8045</v>
      </c>
      <c r="I192" s="120"/>
      <c r="J192" s="120">
        <v>8997</v>
      </c>
      <c r="K192" s="441"/>
      <c r="L192" s="409"/>
      <c r="M192" s="341"/>
      <c r="N192" s="406"/>
    </row>
    <row r="193" spans="1:14" s="36" customFormat="1" ht="12.75">
      <c r="A193" s="186"/>
      <c r="B193" s="157"/>
      <c r="C193" s="149" t="s">
        <v>264</v>
      </c>
      <c r="D193" s="458">
        <f t="shared" si="21"/>
        <v>116209</v>
      </c>
      <c r="E193" s="458">
        <f t="shared" si="22"/>
        <v>116209</v>
      </c>
      <c r="F193" s="150">
        <f t="shared" si="17"/>
        <v>115958</v>
      </c>
      <c r="G193" s="120">
        <v>109587</v>
      </c>
      <c r="H193" s="120">
        <v>6371</v>
      </c>
      <c r="I193" s="120"/>
      <c r="J193" s="120">
        <v>251</v>
      </c>
      <c r="K193" s="441"/>
      <c r="L193" s="409"/>
      <c r="M193" s="341"/>
      <c r="N193" s="406"/>
    </row>
    <row r="194" spans="1:14" s="36" customFormat="1" ht="12.75">
      <c r="A194" s="186"/>
      <c r="B194" s="157"/>
      <c r="C194" s="149" t="s">
        <v>265</v>
      </c>
      <c r="D194" s="458">
        <f t="shared" si="21"/>
        <v>152815</v>
      </c>
      <c r="E194" s="458">
        <f t="shared" si="22"/>
        <v>152815</v>
      </c>
      <c r="F194" s="150">
        <f t="shared" si="17"/>
        <v>152483</v>
      </c>
      <c r="G194" s="120">
        <v>143185</v>
      </c>
      <c r="H194" s="120">
        <v>9298</v>
      </c>
      <c r="I194" s="120"/>
      <c r="J194" s="120">
        <v>332</v>
      </c>
      <c r="K194" s="441"/>
      <c r="L194" s="409"/>
      <c r="M194" s="341"/>
      <c r="N194" s="406"/>
    </row>
    <row r="195" spans="1:14" s="36" customFormat="1" ht="12.75">
      <c r="A195" s="186"/>
      <c r="B195" s="157"/>
      <c r="C195" s="149" t="s">
        <v>266</v>
      </c>
      <c r="D195" s="458">
        <f t="shared" si="21"/>
        <v>76947</v>
      </c>
      <c r="E195" s="458">
        <f t="shared" si="22"/>
        <v>76947</v>
      </c>
      <c r="F195" s="150">
        <f t="shared" si="17"/>
        <v>73242</v>
      </c>
      <c r="G195" s="120">
        <v>67933</v>
      </c>
      <c r="H195" s="120">
        <v>5309</v>
      </c>
      <c r="I195" s="120"/>
      <c r="J195" s="120">
        <v>3705</v>
      </c>
      <c r="K195" s="441"/>
      <c r="L195" s="409"/>
      <c r="M195" s="341"/>
      <c r="N195" s="406"/>
    </row>
    <row r="196" spans="1:14" s="36" customFormat="1" ht="12.75">
      <c r="A196" s="186"/>
      <c r="B196" s="197"/>
      <c r="C196" s="198" t="s">
        <v>267</v>
      </c>
      <c r="D196" s="467">
        <f t="shared" si="21"/>
        <v>27325</v>
      </c>
      <c r="E196" s="458">
        <f t="shared" si="22"/>
        <v>27325</v>
      </c>
      <c r="F196" s="199">
        <f t="shared" si="17"/>
        <v>25573</v>
      </c>
      <c r="G196" s="200">
        <v>24202</v>
      </c>
      <c r="H196" s="120">
        <v>1371</v>
      </c>
      <c r="I196" s="144"/>
      <c r="J196" s="144">
        <v>1752</v>
      </c>
      <c r="K196" s="461"/>
      <c r="L196" s="430"/>
      <c r="M196" s="403"/>
      <c r="N196" s="485"/>
    </row>
    <row r="197" spans="1:14" s="36" customFormat="1" ht="25.5">
      <c r="A197" s="186"/>
      <c r="B197" s="192">
        <v>85412</v>
      </c>
      <c r="C197" s="190" t="s">
        <v>268</v>
      </c>
      <c r="D197" s="460">
        <f t="shared" si="21"/>
        <v>75000</v>
      </c>
      <c r="E197" s="460">
        <f>+F197+I197+J197</f>
        <v>75000</v>
      </c>
      <c r="F197" s="195">
        <f t="shared" si="17"/>
        <v>75000</v>
      </c>
      <c r="G197" s="195">
        <f>+G198</f>
        <v>25000</v>
      </c>
      <c r="H197" s="175">
        <f>+H198</f>
        <v>50000</v>
      </c>
      <c r="I197" s="185"/>
      <c r="J197" s="185"/>
      <c r="K197" s="456"/>
      <c r="L197" s="421"/>
      <c r="M197" s="402"/>
      <c r="N197" s="484"/>
    </row>
    <row r="198" spans="1:14" s="36" customFormat="1" ht="12.75">
      <c r="A198" s="186"/>
      <c r="B198" s="187"/>
      <c r="C198" s="188" t="s">
        <v>269</v>
      </c>
      <c r="D198" s="450">
        <f t="shared" si="21"/>
        <v>75000</v>
      </c>
      <c r="E198" s="450">
        <f>+F198+I198+J198</f>
        <v>75000</v>
      </c>
      <c r="F198" s="117">
        <f t="shared" si="17"/>
        <v>75000</v>
      </c>
      <c r="G198" s="117">
        <v>25000</v>
      </c>
      <c r="H198" s="117">
        <v>50000</v>
      </c>
      <c r="I198" s="117"/>
      <c r="J198" s="117"/>
      <c r="K198" s="445"/>
      <c r="L198" s="412"/>
      <c r="M198" s="341"/>
      <c r="N198" s="406"/>
    </row>
    <row r="199" spans="1:14" s="36" customFormat="1" ht="12.75">
      <c r="A199" s="186"/>
      <c r="B199" s="192">
        <v>85495</v>
      </c>
      <c r="C199" s="181" t="s">
        <v>201</v>
      </c>
      <c r="D199" s="452">
        <f t="shared" si="21"/>
        <v>9000</v>
      </c>
      <c r="E199" s="452">
        <f>+F199</f>
        <v>9000</v>
      </c>
      <c r="F199" s="175">
        <f aca="true" t="shared" si="23" ref="F199:F227">+G199+H199</f>
        <v>9000</v>
      </c>
      <c r="G199" s="175">
        <f>+G200</f>
        <v>0</v>
      </c>
      <c r="H199" s="175">
        <f>+H200</f>
        <v>9000</v>
      </c>
      <c r="I199" s="175"/>
      <c r="J199" s="175"/>
      <c r="K199" s="432"/>
      <c r="L199" s="418"/>
      <c r="M199" s="341"/>
      <c r="N199" s="406"/>
    </row>
    <row r="200" spans="1:14" s="36" customFormat="1" ht="12.75">
      <c r="A200" s="196"/>
      <c r="B200" s="201"/>
      <c r="C200" s="202" t="s">
        <v>305</v>
      </c>
      <c r="D200" s="462">
        <f t="shared" si="21"/>
        <v>9000</v>
      </c>
      <c r="E200" s="462">
        <f>+F200</f>
        <v>9000</v>
      </c>
      <c r="F200" s="118">
        <f t="shared" si="23"/>
        <v>9000</v>
      </c>
      <c r="G200" s="118"/>
      <c r="H200" s="118">
        <v>9000</v>
      </c>
      <c r="I200" s="118"/>
      <c r="J200" s="118"/>
      <c r="K200" s="463"/>
      <c r="L200" s="431"/>
      <c r="M200" s="403"/>
      <c r="N200" s="485"/>
    </row>
    <row r="201" spans="1:14" s="36" customFormat="1" ht="15">
      <c r="A201" s="182">
        <v>900</v>
      </c>
      <c r="B201" s="183"/>
      <c r="C201" s="184" t="s">
        <v>270</v>
      </c>
      <c r="D201" s="448">
        <f t="shared" si="21"/>
        <v>5250000</v>
      </c>
      <c r="E201" s="448">
        <f>+E202+E209+E210+E212+E214+E219</f>
        <v>1960000</v>
      </c>
      <c r="F201" s="151">
        <f t="shared" si="23"/>
        <v>1960000</v>
      </c>
      <c r="G201" s="151">
        <f>+G202+G209+G210+G212+G214+G219</f>
        <v>60000</v>
      </c>
      <c r="H201" s="151">
        <f>+H202+H209+H210+H212+H214+H219</f>
        <v>1900000</v>
      </c>
      <c r="I201" s="151"/>
      <c r="J201" s="151"/>
      <c r="K201" s="416"/>
      <c r="L201" s="415">
        <f>+L202+L209+L210+L212+L214+L219</f>
        <v>3290000</v>
      </c>
      <c r="M201" s="376">
        <f>+M202+M209+M210+M212+M214+M219</f>
        <v>3290000</v>
      </c>
      <c r="N201" s="416">
        <f>+N202+N209+N210+N212+N214+N219</f>
        <v>0</v>
      </c>
    </row>
    <row r="202" spans="1:14" s="36" customFormat="1" ht="12.75">
      <c r="A202" s="186"/>
      <c r="B202" s="159">
        <v>90001</v>
      </c>
      <c r="C202" s="160" t="s">
        <v>271</v>
      </c>
      <c r="D202" s="442">
        <f t="shared" si="21"/>
        <v>3220000</v>
      </c>
      <c r="E202" s="442">
        <f>SUM(E203:E205)</f>
        <v>180000</v>
      </c>
      <c r="F202" s="152">
        <f t="shared" si="23"/>
        <v>180000</v>
      </c>
      <c r="G202" s="152">
        <f>SUM(G203:G205)</f>
        <v>0</v>
      </c>
      <c r="H202" s="152">
        <f>SUM(H203:H205)</f>
        <v>180000</v>
      </c>
      <c r="I202" s="152"/>
      <c r="J202" s="152"/>
      <c r="K202" s="413"/>
      <c r="L202" s="410">
        <f>+L206</f>
        <v>3040000</v>
      </c>
      <c r="M202" s="373">
        <f>+M206</f>
        <v>3040000</v>
      </c>
      <c r="N202" s="406"/>
    </row>
    <row r="203" spans="1:14" s="36" customFormat="1" ht="12.75">
      <c r="A203" s="186"/>
      <c r="B203" s="157"/>
      <c r="C203" s="158" t="s">
        <v>272</v>
      </c>
      <c r="D203" s="440">
        <f t="shared" si="21"/>
        <v>50000</v>
      </c>
      <c r="E203" s="440">
        <f>100000-50000</f>
        <v>50000</v>
      </c>
      <c r="F203" s="120">
        <f t="shared" si="23"/>
        <v>50000</v>
      </c>
      <c r="G203" s="120"/>
      <c r="H203" s="120">
        <f>100000-50000</f>
        <v>50000</v>
      </c>
      <c r="I203" s="120"/>
      <c r="J203" s="120"/>
      <c r="K203" s="441"/>
      <c r="L203" s="409"/>
      <c r="M203" s="341"/>
      <c r="N203" s="406"/>
    </row>
    <row r="204" spans="1:14" s="36" customFormat="1" ht="12.75">
      <c r="A204" s="186"/>
      <c r="B204" s="157"/>
      <c r="C204" s="158" t="s">
        <v>273</v>
      </c>
      <c r="D204" s="440">
        <f t="shared" si="21"/>
        <v>50000</v>
      </c>
      <c r="E204" s="440">
        <f>80000-30000</f>
        <v>50000</v>
      </c>
      <c r="F204" s="120">
        <f t="shared" si="23"/>
        <v>50000</v>
      </c>
      <c r="G204" s="120"/>
      <c r="H204" s="120">
        <f>80000-30000</f>
        <v>50000</v>
      </c>
      <c r="I204" s="120"/>
      <c r="J204" s="120"/>
      <c r="K204" s="441"/>
      <c r="L204" s="409"/>
      <c r="M204" s="341"/>
      <c r="N204" s="406"/>
    </row>
    <row r="205" spans="1:14" s="36" customFormat="1" ht="12.75">
      <c r="A205" s="186"/>
      <c r="B205" s="157"/>
      <c r="C205" s="158" t="s">
        <v>274</v>
      </c>
      <c r="D205" s="440">
        <f t="shared" si="21"/>
        <v>80000</v>
      </c>
      <c r="E205" s="440">
        <v>80000</v>
      </c>
      <c r="F205" s="120">
        <f t="shared" si="23"/>
        <v>80000</v>
      </c>
      <c r="G205" s="120"/>
      <c r="H205" s="120">
        <v>80000</v>
      </c>
      <c r="I205" s="120"/>
      <c r="J205" s="120"/>
      <c r="K205" s="441"/>
      <c r="L205" s="409"/>
      <c r="M205" s="341"/>
      <c r="N205" s="406"/>
    </row>
    <row r="206" spans="1:14" s="36" customFormat="1" ht="12.75">
      <c r="A206" s="186"/>
      <c r="B206" s="157"/>
      <c r="C206" s="160" t="s">
        <v>317</v>
      </c>
      <c r="D206" s="466">
        <f>SUM(D207:D208)</f>
        <v>3040000</v>
      </c>
      <c r="E206" s="440"/>
      <c r="F206" s="120">
        <f t="shared" si="23"/>
        <v>0</v>
      </c>
      <c r="G206" s="120"/>
      <c r="H206" s="120"/>
      <c r="I206" s="120"/>
      <c r="J206" s="120"/>
      <c r="K206" s="441"/>
      <c r="L206" s="410">
        <f>SUM(L207:L208)</f>
        <v>3040000</v>
      </c>
      <c r="M206" s="373">
        <f>SUM(M207:M208)</f>
        <v>3040000</v>
      </c>
      <c r="N206" s="413">
        <f>SUM(N207:N208)</f>
        <v>0</v>
      </c>
    </row>
    <row r="207" spans="1:14" s="36" customFormat="1" ht="25.5">
      <c r="A207" s="186"/>
      <c r="B207" s="157"/>
      <c r="C207" s="203" t="s">
        <v>510</v>
      </c>
      <c r="D207" s="446">
        <f>+E207+L207</f>
        <v>3000000</v>
      </c>
      <c r="E207" s="446"/>
      <c r="F207" s="166">
        <f t="shared" si="23"/>
        <v>0</v>
      </c>
      <c r="G207" s="166"/>
      <c r="H207" s="166"/>
      <c r="I207" s="166"/>
      <c r="J207" s="166"/>
      <c r="K207" s="447"/>
      <c r="L207" s="414">
        <f>+M207+N207</f>
        <v>3000000</v>
      </c>
      <c r="M207" s="392">
        <v>3000000</v>
      </c>
      <c r="N207" s="423"/>
    </row>
    <row r="208" spans="1:14" s="36" customFormat="1" ht="25.5">
      <c r="A208" s="186"/>
      <c r="B208" s="157"/>
      <c r="C208" s="203" t="s">
        <v>651</v>
      </c>
      <c r="D208" s="446">
        <v>40000</v>
      </c>
      <c r="E208" s="446"/>
      <c r="F208" s="166"/>
      <c r="G208" s="166"/>
      <c r="H208" s="166"/>
      <c r="I208" s="166"/>
      <c r="J208" s="166"/>
      <c r="K208" s="447"/>
      <c r="L208" s="414">
        <f>+M208+N208</f>
        <v>40000</v>
      </c>
      <c r="M208" s="392">
        <v>40000</v>
      </c>
      <c r="N208" s="423"/>
    </row>
    <row r="209" spans="1:14" s="36" customFormat="1" ht="12.75">
      <c r="A209" s="186"/>
      <c r="B209" s="159">
        <v>90003</v>
      </c>
      <c r="C209" s="160" t="s">
        <v>282</v>
      </c>
      <c r="D209" s="442">
        <f>+E209+L209</f>
        <v>120000</v>
      </c>
      <c r="E209" s="442">
        <v>120000</v>
      </c>
      <c r="F209" s="152">
        <f t="shared" si="23"/>
        <v>120000</v>
      </c>
      <c r="G209" s="152"/>
      <c r="H209" s="152">
        <v>120000</v>
      </c>
      <c r="I209" s="152"/>
      <c r="J209" s="152"/>
      <c r="K209" s="413"/>
      <c r="L209" s="410"/>
      <c r="M209" s="386"/>
      <c r="N209" s="406"/>
    </row>
    <row r="210" spans="1:14" s="36" customFormat="1" ht="12.75">
      <c r="A210" s="186"/>
      <c r="B210" s="159">
        <v>90004</v>
      </c>
      <c r="C210" s="160" t="s">
        <v>283</v>
      </c>
      <c r="D210" s="442">
        <f>+E210+L210</f>
        <v>120000</v>
      </c>
      <c r="E210" s="442">
        <f>+E211</f>
        <v>120000</v>
      </c>
      <c r="F210" s="152">
        <f t="shared" si="23"/>
        <v>120000</v>
      </c>
      <c r="G210" s="152">
        <f>+G211</f>
        <v>0</v>
      </c>
      <c r="H210" s="152">
        <f>+H211</f>
        <v>120000</v>
      </c>
      <c r="I210" s="152"/>
      <c r="J210" s="152"/>
      <c r="K210" s="413"/>
      <c r="L210" s="410"/>
      <c r="M210" s="386"/>
      <c r="N210" s="406"/>
    </row>
    <row r="211" spans="1:14" s="36" customFormat="1" ht="12.75">
      <c r="A211" s="186"/>
      <c r="B211" s="159"/>
      <c r="C211" s="158" t="s">
        <v>397</v>
      </c>
      <c r="D211" s="442">
        <f>+E211</f>
        <v>120000</v>
      </c>
      <c r="E211" s="440">
        <v>120000</v>
      </c>
      <c r="F211" s="120">
        <f t="shared" si="23"/>
        <v>120000</v>
      </c>
      <c r="G211" s="120"/>
      <c r="H211" s="120">
        <v>120000</v>
      </c>
      <c r="I211" s="152"/>
      <c r="J211" s="152"/>
      <c r="K211" s="413"/>
      <c r="L211" s="410"/>
      <c r="M211" s="386"/>
      <c r="N211" s="406"/>
    </row>
    <row r="212" spans="1:14" s="36" customFormat="1" ht="12.75">
      <c r="A212" s="186"/>
      <c r="B212" s="159">
        <v>90013</v>
      </c>
      <c r="C212" s="160" t="s">
        <v>284</v>
      </c>
      <c r="D212" s="442">
        <f aca="true" t="shared" si="24" ref="D212:D250">+E212+L212</f>
        <v>65000</v>
      </c>
      <c r="E212" s="442">
        <f>+E213</f>
        <v>65000</v>
      </c>
      <c r="F212" s="152">
        <f t="shared" si="23"/>
        <v>65000</v>
      </c>
      <c r="G212" s="152">
        <f>+G213</f>
        <v>0</v>
      </c>
      <c r="H212" s="152">
        <f>+H213</f>
        <v>65000</v>
      </c>
      <c r="I212" s="152"/>
      <c r="J212" s="152"/>
      <c r="K212" s="413"/>
      <c r="L212" s="410"/>
      <c r="M212" s="386"/>
      <c r="N212" s="406"/>
    </row>
    <row r="213" spans="1:14" s="36" customFormat="1" ht="12.75">
      <c r="A213" s="186"/>
      <c r="B213" s="157"/>
      <c r="C213" s="158" t="s">
        <v>509</v>
      </c>
      <c r="D213" s="440">
        <f t="shared" si="24"/>
        <v>65000</v>
      </c>
      <c r="E213" s="440">
        <v>65000</v>
      </c>
      <c r="F213" s="120">
        <f t="shared" si="23"/>
        <v>65000</v>
      </c>
      <c r="G213" s="120"/>
      <c r="H213" s="120">
        <v>65000</v>
      </c>
      <c r="I213" s="120"/>
      <c r="J213" s="120"/>
      <c r="K213" s="441"/>
      <c r="L213" s="409"/>
      <c r="M213" s="386"/>
      <c r="N213" s="406"/>
    </row>
    <row r="214" spans="1:14" s="36" customFormat="1" ht="12.75">
      <c r="A214" s="186"/>
      <c r="B214" s="159">
        <v>90015</v>
      </c>
      <c r="C214" s="160" t="s">
        <v>285</v>
      </c>
      <c r="D214" s="442">
        <f t="shared" si="24"/>
        <v>1550000</v>
      </c>
      <c r="E214" s="442">
        <f>+F214+I214+J214</f>
        <v>1350000</v>
      </c>
      <c r="F214" s="152">
        <f t="shared" si="23"/>
        <v>1350000</v>
      </c>
      <c r="G214" s="152">
        <f>SUM(G215:G216)</f>
        <v>0</v>
      </c>
      <c r="H214" s="152">
        <f>SUM(H215:H216)</f>
        <v>1350000</v>
      </c>
      <c r="I214" s="152">
        <f>SUM(I215:I216)</f>
        <v>0</v>
      </c>
      <c r="J214" s="152">
        <f>SUM(J215:J216)</f>
        <v>0</v>
      </c>
      <c r="K214" s="413"/>
      <c r="L214" s="410">
        <f>SUM(L215:L217)</f>
        <v>200000</v>
      </c>
      <c r="M214" s="390">
        <f>+M217</f>
        <v>200000</v>
      </c>
      <c r="N214" s="406"/>
    </row>
    <row r="215" spans="1:14" s="36" customFormat="1" ht="12.75">
      <c r="A215" s="186"/>
      <c r="B215" s="157"/>
      <c r="C215" s="158" t="s">
        <v>286</v>
      </c>
      <c r="D215" s="440">
        <f t="shared" si="24"/>
        <v>1300000</v>
      </c>
      <c r="E215" s="440">
        <f>+F215</f>
        <v>1300000</v>
      </c>
      <c r="F215" s="120">
        <f t="shared" si="23"/>
        <v>1300000</v>
      </c>
      <c r="G215" s="120"/>
      <c r="H215" s="120">
        <v>1300000</v>
      </c>
      <c r="I215" s="120"/>
      <c r="J215" s="120"/>
      <c r="K215" s="441"/>
      <c r="L215" s="409"/>
      <c r="M215" s="386"/>
      <c r="N215" s="406"/>
    </row>
    <row r="216" spans="1:14" s="36" customFormat="1" ht="12.75">
      <c r="A216" s="186"/>
      <c r="B216" s="187"/>
      <c r="C216" s="188" t="s">
        <v>287</v>
      </c>
      <c r="D216" s="450">
        <f t="shared" si="24"/>
        <v>50000</v>
      </c>
      <c r="E216" s="450">
        <f>+F216</f>
        <v>50000</v>
      </c>
      <c r="F216" s="117">
        <f t="shared" si="23"/>
        <v>50000</v>
      </c>
      <c r="G216" s="117"/>
      <c r="H216" s="117">
        <v>50000</v>
      </c>
      <c r="I216" s="117"/>
      <c r="J216" s="117"/>
      <c r="K216" s="445"/>
      <c r="L216" s="412"/>
      <c r="M216" s="386"/>
      <c r="N216" s="406"/>
    </row>
    <row r="217" spans="1:14" s="36" customFormat="1" ht="12.75">
      <c r="A217" s="186"/>
      <c r="B217" s="187"/>
      <c r="C217" s="181" t="s">
        <v>318</v>
      </c>
      <c r="D217" s="452">
        <f t="shared" si="24"/>
        <v>200000</v>
      </c>
      <c r="E217" s="452"/>
      <c r="F217" s="175">
        <f t="shared" si="23"/>
        <v>0</v>
      </c>
      <c r="G217" s="175"/>
      <c r="H217" s="175"/>
      <c r="I217" s="175"/>
      <c r="J217" s="175"/>
      <c r="K217" s="432"/>
      <c r="L217" s="418">
        <f>+L218</f>
        <v>200000</v>
      </c>
      <c r="M217" s="378">
        <f>+M218</f>
        <v>200000</v>
      </c>
      <c r="N217" s="432">
        <f>+N218</f>
        <v>0</v>
      </c>
    </row>
    <row r="218" spans="1:14" s="36" customFormat="1" ht="12.75">
      <c r="A218" s="186"/>
      <c r="B218" s="187"/>
      <c r="C218" s="191" t="s">
        <v>288</v>
      </c>
      <c r="D218" s="451">
        <f t="shared" si="24"/>
        <v>200000</v>
      </c>
      <c r="E218" s="451"/>
      <c r="F218" s="119">
        <f t="shared" si="23"/>
        <v>0</v>
      </c>
      <c r="G218" s="119"/>
      <c r="H218" s="119"/>
      <c r="I218" s="119"/>
      <c r="J218" s="119"/>
      <c r="K218" s="420"/>
      <c r="L218" s="419">
        <f>+M218</f>
        <v>200000</v>
      </c>
      <c r="M218" s="386">
        <v>200000</v>
      </c>
      <c r="N218" s="406"/>
    </row>
    <row r="219" spans="1:14" s="36" customFormat="1" ht="12.75">
      <c r="A219" s="186"/>
      <c r="B219" s="192">
        <v>90095</v>
      </c>
      <c r="C219" s="181" t="s">
        <v>201</v>
      </c>
      <c r="D219" s="452">
        <f t="shared" si="24"/>
        <v>175000</v>
      </c>
      <c r="E219" s="452">
        <f>SUM(E220:E222)</f>
        <v>125000</v>
      </c>
      <c r="F219" s="175">
        <f t="shared" si="23"/>
        <v>125000</v>
      </c>
      <c r="G219" s="175">
        <f>+G220</f>
        <v>60000</v>
      </c>
      <c r="H219" s="175">
        <f>+H220</f>
        <v>65000</v>
      </c>
      <c r="I219" s="175"/>
      <c r="J219" s="175"/>
      <c r="K219" s="432"/>
      <c r="L219" s="418">
        <f>SUM(L220:L221)</f>
        <v>50000</v>
      </c>
      <c r="M219" s="390">
        <f>+M221</f>
        <v>50000</v>
      </c>
      <c r="N219" s="406"/>
    </row>
    <row r="220" spans="1:14" s="36" customFormat="1" ht="12.75">
      <c r="A220" s="186"/>
      <c r="B220" s="192"/>
      <c r="C220" s="188" t="s">
        <v>289</v>
      </c>
      <c r="D220" s="450">
        <f t="shared" si="24"/>
        <v>125000</v>
      </c>
      <c r="E220" s="450">
        <f>50000+11500+63500</f>
        <v>125000</v>
      </c>
      <c r="F220" s="117">
        <f t="shared" si="23"/>
        <v>125000</v>
      </c>
      <c r="G220" s="117">
        <v>60000</v>
      </c>
      <c r="H220" s="117">
        <v>65000</v>
      </c>
      <c r="I220" s="117"/>
      <c r="J220" s="117"/>
      <c r="K220" s="445"/>
      <c r="L220" s="412"/>
      <c r="M220" s="386"/>
      <c r="N220" s="406"/>
    </row>
    <row r="221" spans="1:14" s="36" customFormat="1" ht="12.75">
      <c r="A221" s="186"/>
      <c r="B221" s="192"/>
      <c r="C221" s="181" t="s">
        <v>360</v>
      </c>
      <c r="D221" s="452">
        <f t="shared" si="24"/>
        <v>50000</v>
      </c>
      <c r="E221" s="450"/>
      <c r="F221" s="117">
        <f t="shared" si="23"/>
        <v>0</v>
      </c>
      <c r="G221" s="117"/>
      <c r="H221" s="117"/>
      <c r="I221" s="117"/>
      <c r="J221" s="117"/>
      <c r="K221" s="445"/>
      <c r="L221" s="418">
        <f>+M221+N221</f>
        <v>50000</v>
      </c>
      <c r="M221" s="390">
        <f>+M222</f>
        <v>50000</v>
      </c>
      <c r="N221" s="406"/>
    </row>
    <row r="222" spans="1:14" s="36" customFormat="1" ht="12.75">
      <c r="A222" s="196"/>
      <c r="B222" s="192"/>
      <c r="C222" s="188" t="s">
        <v>361</v>
      </c>
      <c r="D222" s="450">
        <f t="shared" si="24"/>
        <v>50000</v>
      </c>
      <c r="E222" s="450"/>
      <c r="F222" s="117">
        <f t="shared" si="23"/>
        <v>0</v>
      </c>
      <c r="G222" s="117"/>
      <c r="H222" s="117"/>
      <c r="I222" s="117"/>
      <c r="J222" s="117"/>
      <c r="K222" s="445"/>
      <c r="L222" s="412">
        <f>+M222+N222</f>
        <v>50000</v>
      </c>
      <c r="M222" s="386">
        <v>50000</v>
      </c>
      <c r="N222" s="406"/>
    </row>
    <row r="223" spans="1:14" s="36" customFormat="1" ht="15">
      <c r="A223" s="182">
        <v>921</v>
      </c>
      <c r="B223" s="183"/>
      <c r="C223" s="184" t="s">
        <v>290</v>
      </c>
      <c r="D223" s="448">
        <f t="shared" si="24"/>
        <v>1575137.8</v>
      </c>
      <c r="E223" s="448">
        <f>+E224+E226+E228+E230+E232</f>
        <v>1570137.8</v>
      </c>
      <c r="F223" s="151">
        <f t="shared" si="23"/>
        <v>380300</v>
      </c>
      <c r="G223" s="151"/>
      <c r="H223" s="151">
        <f>+H224+H226+H228+H230+H232</f>
        <v>380300</v>
      </c>
      <c r="I223" s="151">
        <f>+I224+I226+I228+I230</f>
        <v>1189837.8</v>
      </c>
      <c r="J223" s="151"/>
      <c r="K223" s="416">
        <f>+K224+K226+K228+K230</f>
        <v>0</v>
      </c>
      <c r="L223" s="415">
        <f>+M223+N223</f>
        <v>5000</v>
      </c>
      <c r="M223" s="415">
        <f>+M224+M226+M228+M230+M232</f>
        <v>5000</v>
      </c>
      <c r="N223" s="415">
        <f>+N224+N226+N228+N230</f>
        <v>0</v>
      </c>
    </row>
    <row r="224" spans="1:14" s="36" customFormat="1" ht="12.75">
      <c r="A224" s="186"/>
      <c r="B224" s="159">
        <v>92105</v>
      </c>
      <c r="C224" s="160" t="s">
        <v>291</v>
      </c>
      <c r="D224" s="442">
        <f t="shared" si="24"/>
        <v>32000</v>
      </c>
      <c r="E224" s="442">
        <f>+E225</f>
        <v>32000</v>
      </c>
      <c r="F224" s="152">
        <f t="shared" si="23"/>
        <v>32000</v>
      </c>
      <c r="G224" s="152">
        <f>SUM(G225:G225)</f>
        <v>0</v>
      </c>
      <c r="H224" s="152">
        <f>SUM(H225:H225)</f>
        <v>32000</v>
      </c>
      <c r="I224" s="152">
        <f>+I225</f>
        <v>0</v>
      </c>
      <c r="J224" s="152"/>
      <c r="K224" s="413"/>
      <c r="L224" s="410">
        <f>+M224+N224</f>
        <v>0</v>
      </c>
      <c r="M224" s="341"/>
      <c r="N224" s="406"/>
    </row>
    <row r="225" spans="1:14" s="36" customFormat="1" ht="12.75">
      <c r="A225" s="186"/>
      <c r="B225" s="157"/>
      <c r="C225" s="158" t="s">
        <v>508</v>
      </c>
      <c r="D225" s="440">
        <f>+E225+L225</f>
        <v>32000</v>
      </c>
      <c r="E225" s="440">
        <f>+F225</f>
        <v>32000</v>
      </c>
      <c r="F225" s="120">
        <f t="shared" si="23"/>
        <v>32000</v>
      </c>
      <c r="G225" s="120"/>
      <c r="H225" s="120">
        <v>32000</v>
      </c>
      <c r="I225" s="120"/>
      <c r="J225" s="120"/>
      <c r="K225" s="441"/>
      <c r="L225" s="409"/>
      <c r="M225" s="341"/>
      <c r="N225" s="406"/>
    </row>
    <row r="226" spans="1:14" s="36" customFormat="1" ht="12.75">
      <c r="A226" s="329"/>
      <c r="B226" s="169">
        <v>92113</v>
      </c>
      <c r="C226" s="152" t="s">
        <v>358</v>
      </c>
      <c r="D226" s="442">
        <f>+D227</f>
        <v>900000</v>
      </c>
      <c r="E226" s="442">
        <f>+E227</f>
        <v>900000</v>
      </c>
      <c r="F226" s="152">
        <f t="shared" si="23"/>
        <v>0</v>
      </c>
      <c r="G226" s="152"/>
      <c r="H226" s="152"/>
      <c r="I226" s="152">
        <f>+I227</f>
        <v>900000</v>
      </c>
      <c r="J226" s="152"/>
      <c r="K226" s="413"/>
      <c r="L226" s="410"/>
      <c r="M226" s="341"/>
      <c r="N226" s="406"/>
    </row>
    <row r="227" spans="1:14" s="36" customFormat="1" ht="12.75">
      <c r="A227" s="329"/>
      <c r="B227" s="169"/>
      <c r="C227" s="120" t="s">
        <v>454</v>
      </c>
      <c r="D227" s="440">
        <f>+E227+L227</f>
        <v>900000</v>
      </c>
      <c r="E227" s="440">
        <f>+I227</f>
        <v>900000</v>
      </c>
      <c r="F227" s="120">
        <f t="shared" si="23"/>
        <v>0</v>
      </c>
      <c r="G227" s="120"/>
      <c r="H227" s="120"/>
      <c r="I227" s="120">
        <f>1162000-262000</f>
        <v>900000</v>
      </c>
      <c r="J227" s="120"/>
      <c r="K227" s="413"/>
      <c r="L227" s="410"/>
      <c r="M227" s="341"/>
      <c r="N227" s="406"/>
    </row>
    <row r="228" spans="1:14" s="36" customFormat="1" ht="12.75">
      <c r="A228" s="329"/>
      <c r="B228" s="169">
        <v>92116</v>
      </c>
      <c r="C228" s="152" t="s">
        <v>292</v>
      </c>
      <c r="D228" s="442">
        <f t="shared" si="24"/>
        <v>289837.8</v>
      </c>
      <c r="E228" s="442">
        <f>+E229</f>
        <v>289837.8</v>
      </c>
      <c r="F228" s="152">
        <f aca="true" t="shared" si="25" ref="F228:F250">+G228+H228</f>
        <v>0</v>
      </c>
      <c r="G228" s="152"/>
      <c r="H228" s="152">
        <f>+H229</f>
        <v>0</v>
      </c>
      <c r="I228" s="152">
        <f>+I229</f>
        <v>289837.8</v>
      </c>
      <c r="J228" s="152"/>
      <c r="K228" s="413"/>
      <c r="L228" s="410"/>
      <c r="M228" s="341"/>
      <c r="N228" s="406"/>
    </row>
    <row r="229" spans="1:14" s="36" customFormat="1" ht="12.75">
      <c r="A229" s="329"/>
      <c r="B229" s="164"/>
      <c r="C229" s="120" t="s">
        <v>293</v>
      </c>
      <c r="D229" s="440">
        <f t="shared" si="24"/>
        <v>289837.8</v>
      </c>
      <c r="E229" s="440">
        <f>+I229</f>
        <v>289837.8</v>
      </c>
      <c r="F229" s="120">
        <f t="shared" si="25"/>
        <v>0</v>
      </c>
      <c r="G229" s="120"/>
      <c r="H229" s="120"/>
      <c r="I229" s="120">
        <f>276036*1.05</f>
        <v>289837.8</v>
      </c>
      <c r="J229" s="120"/>
      <c r="K229" s="441"/>
      <c r="L229" s="409"/>
      <c r="M229" s="341"/>
      <c r="N229" s="406"/>
    </row>
    <row r="230" spans="1:14" s="36" customFormat="1" ht="12.75">
      <c r="A230" s="329"/>
      <c r="B230" s="169">
        <v>92120</v>
      </c>
      <c r="C230" s="152" t="s">
        <v>294</v>
      </c>
      <c r="D230" s="442">
        <f t="shared" si="24"/>
        <v>200000</v>
      </c>
      <c r="E230" s="442">
        <f>SUM(E231:E231)</f>
        <v>200000</v>
      </c>
      <c r="F230" s="152">
        <f t="shared" si="25"/>
        <v>200000</v>
      </c>
      <c r="G230" s="152">
        <f>SUM(G231:G231)</f>
        <v>0</v>
      </c>
      <c r="H230" s="152">
        <f>SUM(H231:H231)</f>
        <v>200000</v>
      </c>
      <c r="I230" s="152"/>
      <c r="J230" s="152"/>
      <c r="K230" s="413"/>
      <c r="L230" s="410">
        <f>SUM(L231:L231)</f>
        <v>0</v>
      </c>
      <c r="M230" s="341"/>
      <c r="N230" s="406"/>
    </row>
    <row r="231" spans="1:14" s="36" customFormat="1" ht="12.75">
      <c r="A231" s="329"/>
      <c r="B231" s="164"/>
      <c r="C231" s="120" t="s">
        <v>357</v>
      </c>
      <c r="D231" s="440">
        <f t="shared" si="24"/>
        <v>200000</v>
      </c>
      <c r="E231" s="440">
        <f>+F231+I231+J231</f>
        <v>200000</v>
      </c>
      <c r="F231" s="120">
        <f t="shared" si="25"/>
        <v>200000</v>
      </c>
      <c r="G231" s="120"/>
      <c r="H231" s="120">
        <v>200000</v>
      </c>
      <c r="I231" s="120"/>
      <c r="J231" s="120"/>
      <c r="K231" s="441"/>
      <c r="L231" s="409"/>
      <c r="M231" s="341"/>
      <c r="N231" s="406"/>
    </row>
    <row r="232" spans="1:14" s="36" customFormat="1" ht="12.75">
      <c r="A232" s="329"/>
      <c r="B232" s="169">
        <v>92195</v>
      </c>
      <c r="C232" s="152" t="s">
        <v>201</v>
      </c>
      <c r="D232" s="442">
        <f t="shared" si="24"/>
        <v>153300</v>
      </c>
      <c r="E232" s="442">
        <f>+F232+I232+J232</f>
        <v>148300</v>
      </c>
      <c r="F232" s="152">
        <f t="shared" si="25"/>
        <v>148300</v>
      </c>
      <c r="G232" s="152">
        <f>SUM(G233:G234)</f>
        <v>0</v>
      </c>
      <c r="H232" s="152">
        <f>SUM(H233:H234)</f>
        <v>148300</v>
      </c>
      <c r="I232" s="152"/>
      <c r="J232" s="152"/>
      <c r="K232" s="413"/>
      <c r="L232" s="410">
        <f>+M232+N232</f>
        <v>5000</v>
      </c>
      <c r="M232" s="389">
        <f>+M234</f>
        <v>5000</v>
      </c>
      <c r="N232" s="406"/>
    </row>
    <row r="233" spans="1:14" s="36" customFormat="1" ht="12.75">
      <c r="A233" s="329"/>
      <c r="B233" s="165"/>
      <c r="C233" s="117" t="s">
        <v>316</v>
      </c>
      <c r="D233" s="450">
        <f t="shared" si="24"/>
        <v>30000</v>
      </c>
      <c r="E233" s="450">
        <v>30000</v>
      </c>
      <c r="F233" s="117">
        <f t="shared" si="25"/>
        <v>30000</v>
      </c>
      <c r="G233" s="117"/>
      <c r="H233" s="117">
        <v>30000</v>
      </c>
      <c r="I233" s="117"/>
      <c r="J233" s="117"/>
      <c r="K233" s="445"/>
      <c r="L233" s="412"/>
      <c r="M233" s="341"/>
      <c r="N233" s="406"/>
    </row>
    <row r="234" spans="1:14" s="36" customFormat="1" ht="12.75">
      <c r="A234" s="329"/>
      <c r="B234" s="165"/>
      <c r="C234" s="117" t="s">
        <v>508</v>
      </c>
      <c r="D234" s="450">
        <f>+E234+L234</f>
        <v>123300</v>
      </c>
      <c r="E234" s="450">
        <f>+F234</f>
        <v>118300</v>
      </c>
      <c r="F234" s="117">
        <f t="shared" si="25"/>
        <v>118300</v>
      </c>
      <c r="G234" s="117"/>
      <c r="H234" s="117">
        <v>118300</v>
      </c>
      <c r="I234" s="117"/>
      <c r="J234" s="117"/>
      <c r="K234" s="445"/>
      <c r="L234" s="412">
        <f>+M234+N234</f>
        <v>5000</v>
      </c>
      <c r="M234" s="341">
        <v>5000</v>
      </c>
      <c r="N234" s="406"/>
    </row>
    <row r="235" spans="1:14" s="36" customFormat="1" ht="15">
      <c r="A235" s="167">
        <v>926</v>
      </c>
      <c r="B235" s="168"/>
      <c r="C235" s="151" t="s">
        <v>295</v>
      </c>
      <c r="D235" s="448">
        <f t="shared" si="24"/>
        <v>1081500</v>
      </c>
      <c r="E235" s="448">
        <f>+E236+E241</f>
        <v>971500</v>
      </c>
      <c r="F235" s="151">
        <f t="shared" si="25"/>
        <v>0</v>
      </c>
      <c r="G235" s="151"/>
      <c r="H235" s="151">
        <f>+H236+H241</f>
        <v>0</v>
      </c>
      <c r="I235" s="151">
        <f>+I236+I241</f>
        <v>971500</v>
      </c>
      <c r="J235" s="151"/>
      <c r="K235" s="416"/>
      <c r="L235" s="415">
        <f>+L236+L241</f>
        <v>110000</v>
      </c>
      <c r="M235" s="376">
        <f>+M236+M241</f>
        <v>110000</v>
      </c>
      <c r="N235" s="406"/>
    </row>
    <row r="236" spans="1:14" s="36" customFormat="1" ht="12.75">
      <c r="A236" s="179"/>
      <c r="B236" s="169">
        <v>92601</v>
      </c>
      <c r="C236" s="152" t="s">
        <v>296</v>
      </c>
      <c r="D236" s="442">
        <f t="shared" si="24"/>
        <v>648500</v>
      </c>
      <c r="E236" s="442">
        <f>+E237</f>
        <v>538500</v>
      </c>
      <c r="F236" s="152">
        <f t="shared" si="25"/>
        <v>0</v>
      </c>
      <c r="G236" s="152"/>
      <c r="H236" s="152"/>
      <c r="I236" s="152">
        <f>+I237</f>
        <v>538500</v>
      </c>
      <c r="J236" s="152"/>
      <c r="K236" s="413"/>
      <c r="L236" s="410">
        <f>+L238</f>
        <v>110000</v>
      </c>
      <c r="M236" s="386">
        <f>+M238</f>
        <v>110000</v>
      </c>
      <c r="N236" s="406"/>
    </row>
    <row r="237" spans="1:14" s="36" customFormat="1" ht="12.75">
      <c r="A237" s="329"/>
      <c r="B237" s="164"/>
      <c r="C237" s="120" t="s">
        <v>297</v>
      </c>
      <c r="D237" s="440">
        <f t="shared" si="24"/>
        <v>538500</v>
      </c>
      <c r="E237" s="440">
        <f>+F237+I237</f>
        <v>538500</v>
      </c>
      <c r="F237" s="120">
        <f t="shared" si="25"/>
        <v>0</v>
      </c>
      <c r="G237" s="120"/>
      <c r="H237" s="120"/>
      <c r="I237" s="120">
        <v>538500</v>
      </c>
      <c r="J237" s="120"/>
      <c r="K237" s="441"/>
      <c r="L237" s="409"/>
      <c r="M237" s="341"/>
      <c r="N237" s="406"/>
    </row>
    <row r="238" spans="1:14" s="36" customFormat="1" ht="12.75">
      <c r="A238" s="329"/>
      <c r="B238" s="164"/>
      <c r="C238" s="204" t="s">
        <v>317</v>
      </c>
      <c r="D238" s="468">
        <f>SUM(D239:D240)</f>
        <v>110000</v>
      </c>
      <c r="E238" s="440"/>
      <c r="F238" s="120">
        <f t="shared" si="25"/>
        <v>0</v>
      </c>
      <c r="G238" s="120"/>
      <c r="H238" s="120"/>
      <c r="I238" s="120"/>
      <c r="J238" s="120"/>
      <c r="K238" s="441"/>
      <c r="L238" s="433">
        <f>SUM(M238:N238)</f>
        <v>110000</v>
      </c>
      <c r="M238" s="739">
        <f>SUM(M239:M240)</f>
        <v>110000</v>
      </c>
      <c r="N238" s="411"/>
    </row>
    <row r="239" spans="1:14" s="36" customFormat="1" ht="25.5">
      <c r="A239" s="329"/>
      <c r="B239" s="164"/>
      <c r="C239" s="120" t="s">
        <v>621</v>
      </c>
      <c r="D239" s="440">
        <f>+E239+L239</f>
        <v>110000</v>
      </c>
      <c r="E239" s="440"/>
      <c r="F239" s="120">
        <f t="shared" si="25"/>
        <v>0</v>
      </c>
      <c r="G239" s="120"/>
      <c r="H239" s="120"/>
      <c r="I239" s="120"/>
      <c r="J239" s="120"/>
      <c r="K239" s="441"/>
      <c r="L239" s="409">
        <v>110000</v>
      </c>
      <c r="M239" s="372">
        <f>50000+60000</f>
        <v>110000</v>
      </c>
      <c r="N239" s="406"/>
    </row>
    <row r="240" spans="1:14" s="36" customFormat="1" ht="12.75">
      <c r="A240" s="329"/>
      <c r="B240" s="164"/>
      <c r="C240" s="120" t="s">
        <v>474</v>
      </c>
      <c r="D240" s="440">
        <f>+E240+L240</f>
        <v>0</v>
      </c>
      <c r="E240" s="440"/>
      <c r="F240" s="120">
        <f t="shared" si="25"/>
        <v>0</v>
      </c>
      <c r="G240" s="120"/>
      <c r="H240" s="120"/>
      <c r="I240" s="120"/>
      <c r="J240" s="120"/>
      <c r="K240" s="441"/>
      <c r="L240" s="409">
        <f>+M240+N240</f>
        <v>0</v>
      </c>
      <c r="M240" s="386">
        <f>1940000-1940000</f>
        <v>0</v>
      </c>
      <c r="N240" s="406"/>
    </row>
    <row r="241" spans="1:14" s="36" customFormat="1" ht="12.75">
      <c r="A241" s="179"/>
      <c r="B241" s="169">
        <v>92605</v>
      </c>
      <c r="C241" s="152" t="s">
        <v>298</v>
      </c>
      <c r="D241" s="442">
        <f t="shared" si="24"/>
        <v>433000</v>
      </c>
      <c r="E241" s="442">
        <f>SUM(E242:E250)</f>
        <v>433000</v>
      </c>
      <c r="F241" s="152">
        <f t="shared" si="25"/>
        <v>0</v>
      </c>
      <c r="G241" s="152"/>
      <c r="H241" s="152">
        <f>SUM(H242:H250)</f>
        <v>0</v>
      </c>
      <c r="I241" s="152">
        <f>SUM(I242:I250)</f>
        <v>433000</v>
      </c>
      <c r="J241" s="152"/>
      <c r="K241" s="413">
        <f>SUM(K242:K250)</f>
        <v>0</v>
      </c>
      <c r="L241" s="410">
        <f>SUM(L242:L250)</f>
        <v>0</v>
      </c>
      <c r="M241" s="341"/>
      <c r="N241" s="406"/>
    </row>
    <row r="242" spans="1:14" s="36" customFormat="1" ht="12.75">
      <c r="A242" s="329"/>
      <c r="B242" s="164"/>
      <c r="C242" s="120" t="s">
        <v>299</v>
      </c>
      <c r="D242" s="440"/>
      <c r="E242" s="440"/>
      <c r="F242" s="120">
        <f t="shared" si="25"/>
        <v>0</v>
      </c>
      <c r="G242" s="120"/>
      <c r="H242" s="120"/>
      <c r="I242" s="120"/>
      <c r="J242" s="120"/>
      <c r="K242" s="441"/>
      <c r="L242" s="409"/>
      <c r="M242" s="341"/>
      <c r="N242" s="406"/>
    </row>
    <row r="243" spans="1:14" s="36" customFormat="1" ht="12.75">
      <c r="A243" s="329"/>
      <c r="B243" s="164"/>
      <c r="C243" s="120" t="s">
        <v>410</v>
      </c>
      <c r="D243" s="440">
        <f t="shared" si="24"/>
        <v>200000</v>
      </c>
      <c r="E243" s="440">
        <f>+I243</f>
        <v>200000</v>
      </c>
      <c r="F243" s="120">
        <f t="shared" si="25"/>
        <v>0</v>
      </c>
      <c r="G243" s="120"/>
      <c r="H243" s="120"/>
      <c r="I243" s="120">
        <v>200000</v>
      </c>
      <c r="J243" s="120"/>
      <c r="K243" s="441"/>
      <c r="L243" s="409"/>
      <c r="M243" s="341"/>
      <c r="N243" s="406"/>
    </row>
    <row r="244" spans="1:14" s="36" customFormat="1" ht="12.75">
      <c r="A244" s="329"/>
      <c r="B244" s="164"/>
      <c r="C244" s="120" t="s">
        <v>300</v>
      </c>
      <c r="D244" s="440">
        <f t="shared" si="24"/>
        <v>50000</v>
      </c>
      <c r="E244" s="440">
        <f aca="true" t="shared" si="26" ref="E244:E250">+I244</f>
        <v>50000</v>
      </c>
      <c r="F244" s="120">
        <f t="shared" si="25"/>
        <v>0</v>
      </c>
      <c r="G244" s="120"/>
      <c r="H244" s="120"/>
      <c r="I244" s="120">
        <f>60000-10000</f>
        <v>50000</v>
      </c>
      <c r="J244" s="120"/>
      <c r="K244" s="441"/>
      <c r="L244" s="409"/>
      <c r="M244" s="341"/>
      <c r="N244" s="406"/>
    </row>
    <row r="245" spans="1:14" s="36" customFormat="1" ht="12.75">
      <c r="A245" s="329"/>
      <c r="B245" s="164"/>
      <c r="C245" s="120" t="s">
        <v>346</v>
      </c>
      <c r="D245" s="440">
        <f t="shared" si="24"/>
        <v>45000</v>
      </c>
      <c r="E245" s="440">
        <f t="shared" si="26"/>
        <v>45000</v>
      </c>
      <c r="F245" s="120">
        <f>+G245+H245</f>
        <v>0</v>
      </c>
      <c r="G245" s="120"/>
      <c r="H245" s="120"/>
      <c r="I245" s="120">
        <v>45000</v>
      </c>
      <c r="J245" s="120"/>
      <c r="K245" s="441"/>
      <c r="L245" s="409"/>
      <c r="M245" s="341"/>
      <c r="N245" s="406"/>
    </row>
    <row r="246" spans="1:14" s="36" customFormat="1" ht="12.75">
      <c r="A246" s="329"/>
      <c r="B246" s="164"/>
      <c r="C246" s="120" t="s">
        <v>302</v>
      </c>
      <c r="D246" s="440">
        <f t="shared" si="24"/>
        <v>35000</v>
      </c>
      <c r="E246" s="440">
        <f t="shared" si="26"/>
        <v>35000</v>
      </c>
      <c r="F246" s="120">
        <f t="shared" si="25"/>
        <v>0</v>
      </c>
      <c r="G246" s="120"/>
      <c r="H246" s="120"/>
      <c r="I246" s="120">
        <f>22000+8000+10000-5000</f>
        <v>35000</v>
      </c>
      <c r="J246" s="120"/>
      <c r="K246" s="441"/>
      <c r="L246" s="409"/>
      <c r="M246" s="341"/>
      <c r="N246" s="406"/>
    </row>
    <row r="247" spans="1:14" s="36" customFormat="1" ht="12.75">
      <c r="A247" s="329"/>
      <c r="B247" s="164"/>
      <c r="C247" s="120" t="s">
        <v>303</v>
      </c>
      <c r="D247" s="440">
        <f t="shared" si="24"/>
        <v>12000</v>
      </c>
      <c r="E247" s="440">
        <f t="shared" si="26"/>
        <v>12000</v>
      </c>
      <c r="F247" s="120">
        <f t="shared" si="25"/>
        <v>0</v>
      </c>
      <c r="G247" s="120"/>
      <c r="H247" s="120"/>
      <c r="I247" s="120">
        <f>15000-3000</f>
        <v>12000</v>
      </c>
      <c r="J247" s="120"/>
      <c r="K247" s="441"/>
      <c r="L247" s="409"/>
      <c r="M247" s="341"/>
      <c r="N247" s="406"/>
    </row>
    <row r="248" spans="1:14" s="36" customFormat="1" ht="12.75">
      <c r="A248" s="329"/>
      <c r="B248" s="164"/>
      <c r="C248" s="120" t="s">
        <v>373</v>
      </c>
      <c r="D248" s="440">
        <f t="shared" si="24"/>
        <v>70000</v>
      </c>
      <c r="E248" s="440">
        <f t="shared" si="26"/>
        <v>70000</v>
      </c>
      <c r="F248" s="120">
        <f t="shared" si="25"/>
        <v>0</v>
      </c>
      <c r="G248" s="120"/>
      <c r="H248" s="120"/>
      <c r="I248" s="120">
        <f>50000+20000</f>
        <v>70000</v>
      </c>
      <c r="J248" s="120"/>
      <c r="K248" s="441"/>
      <c r="L248" s="409"/>
      <c r="M248" s="341"/>
      <c r="N248" s="406"/>
    </row>
    <row r="249" spans="1:14" s="36" customFormat="1" ht="12.75">
      <c r="A249" s="329"/>
      <c r="B249" s="164"/>
      <c r="C249" s="120" t="s">
        <v>304</v>
      </c>
      <c r="D249" s="440">
        <f t="shared" si="24"/>
        <v>16000</v>
      </c>
      <c r="E249" s="440">
        <f t="shared" si="26"/>
        <v>16000</v>
      </c>
      <c r="F249" s="120">
        <f t="shared" si="25"/>
        <v>0</v>
      </c>
      <c r="G249" s="120"/>
      <c r="H249" s="120"/>
      <c r="I249" s="120">
        <f>20000-4000</f>
        <v>16000</v>
      </c>
      <c r="J249" s="120"/>
      <c r="K249" s="441"/>
      <c r="L249" s="409"/>
      <c r="M249" s="341"/>
      <c r="N249" s="406"/>
    </row>
    <row r="250" spans="1:14" s="36" customFormat="1" ht="12.75">
      <c r="A250" s="504"/>
      <c r="B250" s="164"/>
      <c r="C250" s="120" t="s">
        <v>301</v>
      </c>
      <c r="D250" s="440">
        <f t="shared" si="24"/>
        <v>5000</v>
      </c>
      <c r="E250" s="440">
        <f t="shared" si="26"/>
        <v>5000</v>
      </c>
      <c r="F250" s="120">
        <f t="shared" si="25"/>
        <v>0</v>
      </c>
      <c r="G250" s="120"/>
      <c r="H250" s="120"/>
      <c r="I250" s="120">
        <v>5000</v>
      </c>
      <c r="J250" s="120"/>
      <c r="K250" s="441"/>
      <c r="L250" s="409"/>
      <c r="M250" s="341"/>
      <c r="N250" s="406"/>
    </row>
    <row r="251" spans="1:14" s="36" customFormat="1" ht="15.75" thickBot="1">
      <c r="A251" s="819" t="s">
        <v>399</v>
      </c>
      <c r="B251" s="820"/>
      <c r="C251" s="821"/>
      <c r="D251" s="434">
        <f aca="true" t="shared" si="27" ref="D251:N251">+D12+D17+D40+D76+D86+D96+D99+D110+D117+D161+D170+D185+D188+D201+D223+D235</f>
        <v>52588324.8</v>
      </c>
      <c r="E251" s="434">
        <f t="shared" si="27"/>
        <v>40578221.8</v>
      </c>
      <c r="F251" s="434">
        <f t="shared" si="27"/>
        <v>33163925</v>
      </c>
      <c r="G251" s="434">
        <f t="shared" si="27"/>
        <v>17466109</v>
      </c>
      <c r="H251" s="434">
        <f t="shared" si="27"/>
        <v>15697816</v>
      </c>
      <c r="I251" s="434">
        <f t="shared" si="27"/>
        <v>4119517.8</v>
      </c>
      <c r="J251" s="434">
        <f t="shared" si="27"/>
        <v>2444979</v>
      </c>
      <c r="K251" s="434">
        <f t="shared" si="27"/>
        <v>849800</v>
      </c>
      <c r="L251" s="434">
        <f t="shared" si="27"/>
        <v>12010103</v>
      </c>
      <c r="M251" s="434">
        <f t="shared" si="27"/>
        <v>10710103</v>
      </c>
      <c r="N251" s="434">
        <f t="shared" si="27"/>
        <v>1300000</v>
      </c>
    </row>
    <row r="252" spans="1:14" s="36" customFormat="1" ht="16.5" thickBot="1">
      <c r="A252" s="205"/>
      <c r="B252" s="206"/>
      <c r="C252" s="825" t="s">
        <v>306</v>
      </c>
      <c r="D252" s="825"/>
      <c r="E252" s="825"/>
      <c r="F252" s="825"/>
      <c r="G252" s="825"/>
      <c r="H252" s="825"/>
      <c r="I252" s="825"/>
      <c r="J252" s="825"/>
      <c r="K252" s="825"/>
      <c r="L252" s="825"/>
      <c r="M252" s="400"/>
      <c r="N252" s="401"/>
    </row>
    <row r="253" spans="1:14" s="36" customFormat="1" ht="15">
      <c r="A253" s="167">
        <v>750</v>
      </c>
      <c r="B253" s="331"/>
      <c r="C253" s="151" t="s">
        <v>208</v>
      </c>
      <c r="D253" s="476">
        <f>+E253+L253</f>
        <v>125214</v>
      </c>
      <c r="E253" s="471">
        <f>+F253+I253+J253</f>
        <v>125214</v>
      </c>
      <c r="F253" s="151">
        <f aca="true" t="shared" si="28" ref="F253:F258">+G253+H253</f>
        <v>125214</v>
      </c>
      <c r="G253" s="151">
        <f>+G254</f>
        <v>125214</v>
      </c>
      <c r="H253" s="151">
        <f>+H254</f>
        <v>0</v>
      </c>
      <c r="I253" s="151"/>
      <c r="J253" s="151"/>
      <c r="K253" s="376"/>
      <c r="L253" s="421"/>
      <c r="M253" s="402"/>
      <c r="N253" s="484"/>
    </row>
    <row r="254" spans="1:14" s="36" customFormat="1" ht="12.75">
      <c r="A254" s="329"/>
      <c r="B254" s="332">
        <v>75011</v>
      </c>
      <c r="C254" s="152" t="s">
        <v>307</v>
      </c>
      <c r="D254" s="442">
        <f>+E254+L254</f>
        <v>125214</v>
      </c>
      <c r="E254" s="469">
        <f>+F254+I254+J254</f>
        <v>125214</v>
      </c>
      <c r="F254" s="152">
        <f t="shared" si="28"/>
        <v>125214</v>
      </c>
      <c r="G254" s="152">
        <f>+G255</f>
        <v>125214</v>
      </c>
      <c r="H254" s="152">
        <f>+H255</f>
        <v>0</v>
      </c>
      <c r="I254" s="152"/>
      <c r="J254" s="152"/>
      <c r="K254" s="372"/>
      <c r="L254" s="409">
        <f>+L255</f>
        <v>0</v>
      </c>
      <c r="M254" s="341"/>
      <c r="N254" s="406"/>
    </row>
    <row r="255" spans="1:14" s="36" customFormat="1" ht="12.75">
      <c r="A255" s="504"/>
      <c r="B255" s="330"/>
      <c r="C255" s="117" t="s">
        <v>308</v>
      </c>
      <c r="D255" s="450">
        <f>+E255+L255</f>
        <v>125214</v>
      </c>
      <c r="E255" s="470">
        <f>+F255+I255+J255</f>
        <v>125214</v>
      </c>
      <c r="F255" s="117">
        <f t="shared" si="28"/>
        <v>125214</v>
      </c>
      <c r="G255" s="117">
        <v>125214</v>
      </c>
      <c r="H255" s="117"/>
      <c r="I255" s="117"/>
      <c r="J255" s="117"/>
      <c r="K255" s="374"/>
      <c r="L255" s="431"/>
      <c r="M255" s="403"/>
      <c r="N255" s="485"/>
    </row>
    <row r="256" spans="1:14" s="36" customFormat="1" ht="30">
      <c r="A256" s="167">
        <v>751</v>
      </c>
      <c r="B256" s="331"/>
      <c r="C256" s="151" t="s">
        <v>408</v>
      </c>
      <c r="D256" s="448">
        <f>+E256+L256</f>
        <v>3695</v>
      </c>
      <c r="E256" s="471">
        <f>+E257</f>
        <v>3695</v>
      </c>
      <c r="F256" s="151">
        <f t="shared" si="28"/>
        <v>3695</v>
      </c>
      <c r="G256" s="151">
        <f>+G257</f>
        <v>3695</v>
      </c>
      <c r="H256" s="151">
        <f>+H257</f>
        <v>0</v>
      </c>
      <c r="I256" s="151"/>
      <c r="J256" s="151"/>
      <c r="K256" s="383"/>
      <c r="L256" s="486"/>
      <c r="M256" s="399"/>
      <c r="N256" s="487"/>
    </row>
    <row r="257" spans="1:14" s="36" customFormat="1" ht="25.5">
      <c r="A257" s="329"/>
      <c r="B257" s="332">
        <v>75101</v>
      </c>
      <c r="C257" s="152" t="s">
        <v>309</v>
      </c>
      <c r="D257" s="442">
        <f>+D258</f>
        <v>3695</v>
      </c>
      <c r="E257" s="469">
        <f>+F257+I257+J257</f>
        <v>3695</v>
      </c>
      <c r="F257" s="152">
        <f t="shared" si="28"/>
        <v>3695</v>
      </c>
      <c r="G257" s="152">
        <f>+G258</f>
        <v>3695</v>
      </c>
      <c r="H257" s="152">
        <f>+H258</f>
        <v>0</v>
      </c>
      <c r="I257" s="152"/>
      <c r="J257" s="152"/>
      <c r="K257" s="372"/>
      <c r="L257" s="409"/>
      <c r="M257" s="341"/>
      <c r="N257" s="406"/>
    </row>
    <row r="258" spans="1:14" s="36" customFormat="1" ht="12.75">
      <c r="A258" s="329"/>
      <c r="B258" s="333"/>
      <c r="C258" s="170" t="s">
        <v>406</v>
      </c>
      <c r="D258" s="457">
        <f>+E258+L258</f>
        <v>3695</v>
      </c>
      <c r="E258" s="475">
        <f>+F258+I258+J258</f>
        <v>3695</v>
      </c>
      <c r="F258" s="170">
        <f t="shared" si="28"/>
        <v>3695</v>
      </c>
      <c r="G258" s="170">
        <v>3695</v>
      </c>
      <c r="H258" s="170">
        <v>0</v>
      </c>
      <c r="I258" s="170"/>
      <c r="J258" s="170"/>
      <c r="K258" s="377"/>
      <c r="L258" s="417"/>
      <c r="M258" s="341"/>
      <c r="N258" s="406"/>
    </row>
    <row r="259" spans="1:14" s="36" customFormat="1" ht="30">
      <c r="A259" s="182">
        <v>754</v>
      </c>
      <c r="B259" s="334"/>
      <c r="C259" s="184" t="s">
        <v>248</v>
      </c>
      <c r="D259" s="448">
        <f>+E259</f>
        <v>1000</v>
      </c>
      <c r="E259" s="471">
        <f>+F259+I259+J259</f>
        <v>1000</v>
      </c>
      <c r="F259" s="151">
        <f aca="true" t="shared" si="29" ref="F259:F264">+G259+H259</f>
        <v>1000</v>
      </c>
      <c r="G259" s="151"/>
      <c r="H259" s="151">
        <f>+H260</f>
        <v>1000</v>
      </c>
      <c r="I259" s="151"/>
      <c r="J259" s="151"/>
      <c r="K259" s="380"/>
      <c r="L259" s="421"/>
      <c r="M259" s="402"/>
      <c r="N259" s="484"/>
    </row>
    <row r="260" spans="1:14" s="36" customFormat="1" ht="12.75">
      <c r="A260" s="186"/>
      <c r="B260" s="335">
        <v>75414</v>
      </c>
      <c r="C260" s="160" t="s">
        <v>311</v>
      </c>
      <c r="D260" s="442">
        <f>+E260+L260</f>
        <v>1000</v>
      </c>
      <c r="E260" s="469">
        <f>+F260+I260+J260</f>
        <v>1000</v>
      </c>
      <c r="F260" s="152">
        <f t="shared" si="29"/>
        <v>1000</v>
      </c>
      <c r="G260" s="152"/>
      <c r="H260" s="152">
        <f>+H261</f>
        <v>1000</v>
      </c>
      <c r="I260" s="152"/>
      <c r="J260" s="152"/>
      <c r="K260" s="372"/>
      <c r="L260" s="409"/>
      <c r="M260" s="341"/>
      <c r="N260" s="406"/>
    </row>
    <row r="261" spans="1:14" s="36" customFormat="1" ht="12.75">
      <c r="A261" s="196"/>
      <c r="B261" s="336"/>
      <c r="C261" s="158" t="s">
        <v>310</v>
      </c>
      <c r="D261" s="440">
        <f>+E261+L261</f>
        <v>1000</v>
      </c>
      <c r="E261" s="472">
        <f>+I261+F261+J261</f>
        <v>1000</v>
      </c>
      <c r="F261" s="120">
        <f t="shared" si="29"/>
        <v>1000</v>
      </c>
      <c r="G261" s="120"/>
      <c r="H261" s="120">
        <v>1000</v>
      </c>
      <c r="I261" s="118"/>
      <c r="J261" s="118"/>
      <c r="K261" s="382"/>
      <c r="L261" s="431"/>
      <c r="M261" s="403"/>
      <c r="N261" s="485"/>
    </row>
    <row r="262" spans="1:14" s="36" customFormat="1" ht="15">
      <c r="A262" s="182">
        <v>852</v>
      </c>
      <c r="B262" s="334"/>
      <c r="C262" s="184" t="s">
        <v>255</v>
      </c>
      <c r="D262" s="448">
        <f>+E262+L262</f>
        <v>4176000</v>
      </c>
      <c r="E262" s="471">
        <f>+E263+E264</f>
        <v>4176000</v>
      </c>
      <c r="F262" s="151">
        <f t="shared" si="29"/>
        <v>167720</v>
      </c>
      <c r="G262" s="151">
        <f>SUM(G263:G264)</f>
        <v>116250</v>
      </c>
      <c r="H262" s="151">
        <f>+H263</f>
        <v>51470</v>
      </c>
      <c r="I262" s="398"/>
      <c r="J262" s="398">
        <f>+J263</f>
        <v>4008280</v>
      </c>
      <c r="K262" s="381"/>
      <c r="L262" s="426"/>
      <c r="M262" s="399"/>
      <c r="N262" s="487"/>
    </row>
    <row r="263" spans="1:14" s="36" customFormat="1" ht="25.5">
      <c r="A263" s="186"/>
      <c r="B263" s="335">
        <v>85212</v>
      </c>
      <c r="C263" s="158" t="s">
        <v>642</v>
      </c>
      <c r="D263" s="440">
        <f>+E263+L263</f>
        <v>4174000</v>
      </c>
      <c r="E263" s="472">
        <f>+F263+I263+J263</f>
        <v>4174000</v>
      </c>
      <c r="F263" s="120">
        <f t="shared" si="29"/>
        <v>165720</v>
      </c>
      <c r="G263" s="120">
        <v>114250</v>
      </c>
      <c r="H263" s="120">
        <v>51470</v>
      </c>
      <c r="I263" s="120"/>
      <c r="J263" s="120">
        <v>4008280</v>
      </c>
      <c r="K263" s="372"/>
      <c r="L263" s="409"/>
      <c r="M263" s="341"/>
      <c r="N263" s="406"/>
    </row>
    <row r="264" spans="1:14" s="36" customFormat="1" ht="26.25" thickBot="1">
      <c r="A264" s="186"/>
      <c r="B264" s="590">
        <v>85213</v>
      </c>
      <c r="C264" s="188" t="s">
        <v>643</v>
      </c>
      <c r="D264" s="450">
        <f>+E264+L264</f>
        <v>2000</v>
      </c>
      <c r="E264" s="470">
        <f>+F264+I264+J264</f>
        <v>2000</v>
      </c>
      <c r="F264" s="117">
        <f t="shared" si="29"/>
        <v>2000</v>
      </c>
      <c r="G264" s="117">
        <v>2000</v>
      </c>
      <c r="H264" s="117"/>
      <c r="I264" s="117"/>
      <c r="J264" s="117"/>
      <c r="K264" s="374"/>
      <c r="L264" s="412"/>
      <c r="M264" s="395"/>
      <c r="N264" s="428"/>
    </row>
    <row r="265" spans="1:14" s="36" customFormat="1" ht="15.75" customHeight="1" thickBot="1">
      <c r="A265" s="303"/>
      <c r="B265" s="591"/>
      <c r="C265" s="592"/>
      <c r="D265" s="302"/>
      <c r="E265" s="302"/>
      <c r="F265" s="302"/>
      <c r="G265" s="302"/>
      <c r="H265" s="302"/>
      <c r="I265" s="302"/>
      <c r="J265" s="302"/>
      <c r="K265" s="302"/>
      <c r="L265" s="302"/>
      <c r="M265" s="400"/>
      <c r="N265" s="491"/>
    </row>
    <row r="266" spans="1:14" s="37" customFormat="1" ht="15">
      <c r="A266" s="515">
        <v>710</v>
      </c>
      <c r="B266" s="207"/>
      <c r="C266" s="208" t="s">
        <v>312</v>
      </c>
      <c r="D266" s="481">
        <f>+E266+L266</f>
        <v>1500</v>
      </c>
      <c r="E266" s="477">
        <f>+F266+I266+J266</f>
        <v>1500</v>
      </c>
      <c r="F266" s="209">
        <f>+G266+H266</f>
        <v>1500</v>
      </c>
      <c r="G266" s="209"/>
      <c r="H266" s="209">
        <f>+H267</f>
        <v>1500</v>
      </c>
      <c r="I266" s="396"/>
      <c r="J266" s="396"/>
      <c r="K266" s="377"/>
      <c r="L266" s="417"/>
      <c r="M266" s="397"/>
      <c r="N266" s="488"/>
    </row>
    <row r="267" spans="1:14" ht="12.75">
      <c r="A267" s="196"/>
      <c r="B267" s="337">
        <v>71035</v>
      </c>
      <c r="C267" s="143" t="s">
        <v>313</v>
      </c>
      <c r="D267" s="482">
        <f>+E267</f>
        <v>1500</v>
      </c>
      <c r="E267" s="483">
        <f>+F267+I267+J267</f>
        <v>1500</v>
      </c>
      <c r="F267" s="116">
        <f>+G267+H267</f>
        <v>1500</v>
      </c>
      <c r="G267" s="116"/>
      <c r="H267" s="116">
        <v>1500</v>
      </c>
      <c r="I267" s="116"/>
      <c r="J267" s="116"/>
      <c r="K267" s="381"/>
      <c r="L267" s="426"/>
      <c r="M267" s="388"/>
      <c r="N267" s="489"/>
    </row>
    <row r="268" spans="1:14" ht="31.5" customHeight="1" thickBot="1">
      <c r="A268" s="817" t="s">
        <v>398</v>
      </c>
      <c r="B268" s="818"/>
      <c r="C268" s="818"/>
      <c r="D268" s="479">
        <f>+D253+D256+D259+D262+D266</f>
        <v>4307409</v>
      </c>
      <c r="E268" s="473">
        <f>E253+E256+E259+E262+E266</f>
        <v>4307409</v>
      </c>
      <c r="F268" s="148">
        <f>F253+F256+F259+F262+F266</f>
        <v>299129</v>
      </c>
      <c r="G268" s="148">
        <f>+G253+G256+G259+G262+G266</f>
        <v>245159</v>
      </c>
      <c r="H268" s="148">
        <f aca="true" t="shared" si="30" ref="H268:N268">H253+H256+H259+H262+H266</f>
        <v>53970</v>
      </c>
      <c r="I268" s="148">
        <f t="shared" si="30"/>
        <v>0</v>
      </c>
      <c r="J268" s="148">
        <f t="shared" si="30"/>
        <v>4008280</v>
      </c>
      <c r="K268" s="384">
        <f t="shared" si="30"/>
        <v>0</v>
      </c>
      <c r="L268" s="479">
        <f t="shared" si="30"/>
        <v>0</v>
      </c>
      <c r="M268" s="148">
        <f t="shared" si="30"/>
        <v>0</v>
      </c>
      <c r="N268" s="474">
        <f t="shared" si="30"/>
        <v>0</v>
      </c>
    </row>
    <row r="269" spans="1:14" ht="16.5" thickBot="1">
      <c r="A269" s="814" t="s">
        <v>529</v>
      </c>
      <c r="B269" s="815"/>
      <c r="C269" s="816"/>
      <c r="D269" s="480">
        <f>+D251+D268</f>
        <v>56895733.8</v>
      </c>
      <c r="E269" s="478">
        <f aca="true" t="shared" si="31" ref="E269:N269">+E251+E268</f>
        <v>44885630.8</v>
      </c>
      <c r="F269" s="304">
        <f t="shared" si="31"/>
        <v>33463054</v>
      </c>
      <c r="G269" s="304">
        <f t="shared" si="31"/>
        <v>17711268</v>
      </c>
      <c r="H269" s="304">
        <f t="shared" si="31"/>
        <v>15751786</v>
      </c>
      <c r="I269" s="304">
        <f t="shared" si="31"/>
        <v>4119517.8</v>
      </c>
      <c r="J269" s="304">
        <f t="shared" si="31"/>
        <v>6453259</v>
      </c>
      <c r="K269" s="385">
        <f t="shared" si="31"/>
        <v>849800</v>
      </c>
      <c r="L269" s="480">
        <f t="shared" si="31"/>
        <v>12010103</v>
      </c>
      <c r="M269" s="304">
        <f t="shared" si="31"/>
        <v>10710103</v>
      </c>
      <c r="N269" s="490">
        <f t="shared" si="31"/>
        <v>1300000</v>
      </c>
    </row>
    <row r="270" spans="3:14" ht="12.75">
      <c r="C270" s="127"/>
      <c r="D270" s="59"/>
      <c r="E270" s="59"/>
      <c r="F270" s="59"/>
      <c r="G270" s="59"/>
      <c r="H270" s="59"/>
      <c r="I270" s="59"/>
      <c r="J270" s="59"/>
      <c r="K270" s="59"/>
      <c r="L270" s="393"/>
      <c r="M270" s="394"/>
      <c r="N270" s="394"/>
    </row>
    <row r="271" spans="4:14" ht="12.75"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</row>
    <row r="272" ht="13.5" thickBot="1">
      <c r="L272" s="5"/>
    </row>
    <row r="273" spans="3:12" ht="12.75">
      <c r="C273" s="121" t="s">
        <v>371</v>
      </c>
      <c r="D273" s="122">
        <v>3232000</v>
      </c>
      <c r="L273" s="5"/>
    </row>
    <row r="274" spans="3:6" ht="12.75">
      <c r="C274" s="123" t="s">
        <v>372</v>
      </c>
      <c r="D274" s="124">
        <f>+D269+D273</f>
        <v>60127733.8</v>
      </c>
      <c r="F274" s="59">
        <f>+F269+I269+J269+K269</f>
        <v>44885630.8</v>
      </c>
    </row>
    <row r="275" spans="3:12" ht="12.75">
      <c r="C275" s="123" t="s">
        <v>375</v>
      </c>
      <c r="D275" s="124">
        <f>+tabl1!F70</f>
        <v>53927734</v>
      </c>
      <c r="F275" s="59"/>
      <c r="L275" s="5"/>
    </row>
    <row r="276" spans="3:12" ht="12.75">
      <c r="C276" s="210" t="s">
        <v>482</v>
      </c>
      <c r="D276" s="211">
        <f>+zał9!I15</f>
        <v>6200000</v>
      </c>
      <c r="L276" s="5"/>
    </row>
    <row r="277" spans="3:12" ht="13.5" thickBot="1">
      <c r="C277" s="125" t="s">
        <v>418</v>
      </c>
      <c r="D277" s="126">
        <f>+D275-D274+D276</f>
        <v>0.20000000298023224</v>
      </c>
      <c r="L277" s="5"/>
    </row>
    <row r="278" spans="4:12" ht="12.75">
      <c r="D278" s="67"/>
      <c r="E278" s="67"/>
      <c r="F278" s="67"/>
      <c r="G278" s="67"/>
      <c r="H278" s="67"/>
      <c r="I278" s="67"/>
      <c r="J278" s="67"/>
      <c r="K278" s="67"/>
      <c r="L278" s="67"/>
    </row>
    <row r="279" spans="5:12" ht="12.75">
      <c r="E279" s="59">
        <f>+E269+L269-D269</f>
        <v>0</v>
      </c>
      <c r="F279" s="59"/>
      <c r="G279" s="59"/>
      <c r="L279" s="99">
        <f>+L269-L52-L53-L55</f>
        <v>10747900</v>
      </c>
    </row>
    <row r="281" ht="12.75">
      <c r="F281" s="59"/>
    </row>
    <row r="282" ht="12.75">
      <c r="F282" s="59"/>
    </row>
    <row r="283" ht="12.75">
      <c r="D283" s="59"/>
    </row>
    <row r="307" ht="20.25" customHeight="1"/>
    <row r="309" ht="25.5" customHeight="1"/>
    <row r="312" ht="55.5" customHeight="1"/>
    <row r="313" spans="1:12" ht="12.75" hidden="1">
      <c r="A313" s="63"/>
      <c r="B313" s="63"/>
      <c r="C313" s="63"/>
      <c r="D313" s="64" t="s">
        <v>23</v>
      </c>
      <c r="E313" s="64" t="s">
        <v>23</v>
      </c>
      <c r="F313" s="64"/>
      <c r="G313" s="64"/>
      <c r="H313" s="64"/>
      <c r="I313" s="64"/>
      <c r="J313" s="64"/>
      <c r="K313" s="64"/>
      <c r="L313" s="64"/>
    </row>
    <row r="316" ht="77.25" customHeight="1"/>
    <row r="319" ht="44.25" customHeight="1"/>
    <row r="320" spans="1:12" ht="12.75">
      <c r="A320" s="61"/>
      <c r="B320" s="61"/>
      <c r="C320" s="61"/>
      <c r="D320" s="62"/>
      <c r="E320" s="62"/>
      <c r="F320" s="62"/>
      <c r="G320" s="62"/>
      <c r="H320" s="62"/>
      <c r="I320" s="62"/>
      <c r="J320" s="62"/>
      <c r="K320" s="62"/>
      <c r="L320" s="62"/>
    </row>
    <row r="321" spans="4:7" ht="28.5" customHeight="1">
      <c r="D321" s="59"/>
      <c r="E321" s="59"/>
      <c r="F321" s="59"/>
      <c r="G321" s="59"/>
    </row>
    <row r="322" spans="4:7" ht="12.75">
      <c r="D322" s="59"/>
      <c r="E322" s="59"/>
      <c r="F322" s="59"/>
      <c r="G322" s="59"/>
    </row>
    <row r="323" spans="4:7" ht="12.75">
      <c r="D323" s="59"/>
      <c r="E323" s="59"/>
      <c r="F323" s="59"/>
      <c r="G323" s="59"/>
    </row>
    <row r="324" spans="4:7" ht="12.75">
      <c r="D324" s="59"/>
      <c r="E324" s="59"/>
      <c r="F324" s="59"/>
      <c r="G324" s="59"/>
    </row>
    <row r="325" spans="4:7" ht="12.75">
      <c r="D325" s="59"/>
      <c r="E325" s="59"/>
      <c r="F325" s="59"/>
      <c r="G325" s="59"/>
    </row>
    <row r="327" spans="4:12" ht="12.75">
      <c r="D327" s="59"/>
      <c r="E327" s="59"/>
      <c r="F327" s="59"/>
      <c r="G327" s="59"/>
      <c r="H327" s="59"/>
      <c r="I327" s="59"/>
      <c r="J327" s="59"/>
      <c r="L327" s="59"/>
    </row>
    <row r="328" spans="4:12" ht="12.75">
      <c r="D328" s="59"/>
      <c r="E328" s="59"/>
      <c r="F328" s="59"/>
      <c r="G328" s="59"/>
      <c r="H328" s="59"/>
      <c r="L328" s="59"/>
    </row>
    <row r="329" spans="4:8" ht="12.75">
      <c r="D329" s="59"/>
      <c r="E329" s="59"/>
      <c r="F329" s="59"/>
      <c r="G329" s="59"/>
      <c r="H329" s="59"/>
    </row>
    <row r="331" spans="4:8" ht="12.75">
      <c r="D331" s="59"/>
      <c r="E331" s="59"/>
      <c r="F331" s="59"/>
      <c r="G331" s="59"/>
      <c r="H331" s="59"/>
    </row>
    <row r="332" spans="4:8" ht="12.75">
      <c r="D332" s="59"/>
      <c r="E332" s="59"/>
      <c r="F332" s="59"/>
      <c r="G332" s="59"/>
      <c r="H332" s="59"/>
    </row>
    <row r="335" spans="4:8" ht="12.75">
      <c r="D335" s="59"/>
      <c r="E335" s="59"/>
      <c r="F335" s="59"/>
      <c r="G335" s="59"/>
      <c r="H335" s="59"/>
    </row>
    <row r="336" spans="4:8" ht="12.75">
      <c r="D336" s="59"/>
      <c r="E336" s="59"/>
      <c r="F336" s="59"/>
      <c r="G336" s="59"/>
      <c r="H336" s="59"/>
    </row>
    <row r="337" spans="4:8" ht="12.75">
      <c r="D337" s="59"/>
      <c r="E337" s="59"/>
      <c r="F337" s="59"/>
      <c r="G337" s="59"/>
      <c r="H337" s="59"/>
    </row>
    <row r="339" spans="4:12" ht="12.75">
      <c r="D339" s="59"/>
      <c r="L339" s="59"/>
    </row>
    <row r="341" spans="4:8" ht="12.75">
      <c r="D341" s="59"/>
      <c r="E341" s="59"/>
      <c r="F341" s="59"/>
      <c r="G341" s="59"/>
      <c r="H341" s="59"/>
    </row>
    <row r="343" spans="4:8" ht="12.75">
      <c r="D343" s="59"/>
      <c r="E343" s="59"/>
      <c r="F343" s="59"/>
      <c r="G343" s="59"/>
      <c r="H343" s="59"/>
    </row>
    <row r="344" spans="4:8" ht="12.75">
      <c r="D344" s="59"/>
      <c r="E344" s="59"/>
      <c r="F344" s="59"/>
      <c r="G344" s="59"/>
      <c r="H344" s="59"/>
    </row>
    <row r="345" spans="4:8" ht="12.75">
      <c r="D345" s="59"/>
      <c r="E345" s="59"/>
      <c r="F345" s="59"/>
      <c r="G345" s="59"/>
      <c r="H345" s="59"/>
    </row>
    <row r="346" spans="4:8" ht="12.75">
      <c r="D346" s="59"/>
      <c r="E346" s="59"/>
      <c r="F346" s="59"/>
      <c r="G346" s="59"/>
      <c r="H346" s="59"/>
    </row>
    <row r="347" spans="4:8" ht="12.75">
      <c r="D347" s="59"/>
      <c r="E347" s="59"/>
      <c r="F347" s="59"/>
      <c r="G347" s="59"/>
      <c r="H347" s="59"/>
    </row>
    <row r="349" spans="4:10" ht="12.75">
      <c r="D349" s="59"/>
      <c r="E349" s="59"/>
      <c r="F349" s="59"/>
      <c r="G349" s="59"/>
      <c r="I349" s="59"/>
      <c r="J349" s="59"/>
    </row>
    <row r="350" spans="4:10" ht="12.75">
      <c r="D350" s="59"/>
      <c r="E350" s="59"/>
      <c r="F350" s="59"/>
      <c r="G350" s="59"/>
      <c r="I350" s="59"/>
      <c r="J350" s="59"/>
    </row>
    <row r="351" spans="4:7" ht="12.75">
      <c r="D351" s="59"/>
      <c r="E351" s="59"/>
      <c r="F351" s="59"/>
      <c r="G351" s="59"/>
    </row>
    <row r="352" spans="4:8" ht="12.75">
      <c r="D352" s="59"/>
      <c r="E352" s="59"/>
      <c r="F352" s="59"/>
      <c r="G352" s="59"/>
      <c r="H352" s="59"/>
    </row>
    <row r="354" spans="4:8" ht="12.75">
      <c r="D354" s="59"/>
      <c r="E354" s="59"/>
      <c r="F354" s="59"/>
      <c r="G354" s="59"/>
      <c r="H354" s="59"/>
    </row>
    <row r="355" spans="4:8" ht="12.75">
      <c r="D355" s="59"/>
      <c r="E355" s="59"/>
      <c r="F355" s="59"/>
      <c r="G355" s="59"/>
      <c r="H355" s="59"/>
    </row>
    <row r="356" spans="4:8" ht="12.75">
      <c r="D356" s="59"/>
      <c r="E356" s="59"/>
      <c r="F356" s="59"/>
      <c r="G356" s="59"/>
      <c r="H356" s="59"/>
    </row>
    <row r="358" spans="4:7" ht="12.75">
      <c r="D358" s="59"/>
      <c r="E358" s="59"/>
      <c r="F358" s="59"/>
      <c r="G358" s="59"/>
    </row>
    <row r="359" spans="4:7" ht="12.75">
      <c r="D359" s="59"/>
      <c r="E359" s="59"/>
      <c r="F359" s="59"/>
      <c r="G359" s="59"/>
    </row>
    <row r="361" spans="4:8" ht="12.75">
      <c r="D361" s="59"/>
      <c r="E361" s="59"/>
      <c r="F361" s="59"/>
      <c r="G361" s="59"/>
      <c r="H361" s="59"/>
    </row>
    <row r="362" spans="4:8" ht="12.75">
      <c r="D362" s="59"/>
      <c r="E362" s="59"/>
      <c r="F362" s="59"/>
      <c r="G362" s="59"/>
      <c r="H362" s="59"/>
    </row>
    <row r="364" spans="4:8" ht="12.75">
      <c r="D364" s="59"/>
      <c r="E364" s="59"/>
      <c r="F364" s="59"/>
      <c r="G364" s="59"/>
      <c r="H364" s="59"/>
    </row>
    <row r="365" spans="4:8" ht="12.75">
      <c r="D365" s="59"/>
      <c r="E365" s="59"/>
      <c r="F365" s="59"/>
      <c r="G365" s="59"/>
      <c r="H365" s="59"/>
    </row>
    <row r="366" ht="12.75">
      <c r="D366" s="60"/>
    </row>
    <row r="368" ht="12.75">
      <c r="H368" s="60"/>
    </row>
    <row r="369" spans="4:7" ht="12.75">
      <c r="D369" s="59"/>
      <c r="E369" s="59"/>
      <c r="F369" s="59"/>
      <c r="G369" s="59"/>
    </row>
    <row r="371" spans="4:10" ht="12.75">
      <c r="D371" s="59"/>
      <c r="E371" s="59"/>
      <c r="F371" s="59"/>
      <c r="G371" s="59"/>
      <c r="I371" s="59"/>
      <c r="J371" s="59"/>
    </row>
    <row r="372" spans="4:10" ht="12.75">
      <c r="D372" s="59"/>
      <c r="E372" s="59"/>
      <c r="F372" s="59"/>
      <c r="G372" s="59"/>
      <c r="I372" s="59"/>
      <c r="J372" s="59"/>
    </row>
    <row r="375" spans="4:7" ht="12.75">
      <c r="D375" s="59"/>
      <c r="E375" s="59"/>
      <c r="F375" s="59"/>
      <c r="G375" s="59"/>
    </row>
    <row r="376" spans="4:7" ht="12.75">
      <c r="D376" s="59"/>
      <c r="E376" s="59"/>
      <c r="F376" s="59"/>
      <c r="G376" s="59"/>
    </row>
    <row r="377" spans="4:7" ht="12.75">
      <c r="D377" s="59"/>
      <c r="E377" s="59"/>
      <c r="F377" s="59"/>
      <c r="G377" s="59"/>
    </row>
    <row r="385" spans="4:8" ht="12.75">
      <c r="D385" s="59"/>
      <c r="E385" s="59"/>
      <c r="F385" s="59"/>
      <c r="G385" s="59"/>
      <c r="H385" s="59"/>
    </row>
    <row r="388" spans="4:7" ht="12.75">
      <c r="D388" s="59"/>
      <c r="E388" s="59"/>
      <c r="F388" s="59"/>
      <c r="G388" s="59"/>
    </row>
    <row r="390" spans="4:7" ht="12.75">
      <c r="D390" s="59"/>
      <c r="E390" s="59"/>
      <c r="F390" s="59"/>
      <c r="G390" s="59"/>
    </row>
    <row r="392" spans="4:7" ht="12.75">
      <c r="D392" s="59"/>
      <c r="E392" s="59"/>
      <c r="F392" s="59"/>
      <c r="G392" s="59"/>
    </row>
    <row r="394" spans="4:8" ht="12.75">
      <c r="D394" s="59"/>
      <c r="E394" s="59"/>
      <c r="F394" s="59"/>
      <c r="G394" s="59"/>
      <c r="H394" s="59"/>
    </row>
    <row r="395" spans="4:8" ht="12.75">
      <c r="D395" s="59"/>
      <c r="E395" s="59"/>
      <c r="F395" s="59"/>
      <c r="G395" s="59"/>
      <c r="H395" s="59"/>
    </row>
    <row r="397" spans="4:7" ht="12.75">
      <c r="D397" s="59"/>
      <c r="E397" s="59"/>
      <c r="F397" s="59"/>
      <c r="G397" s="59"/>
    </row>
    <row r="398" spans="4:7" ht="12.75">
      <c r="D398" s="59"/>
      <c r="E398" s="59"/>
      <c r="F398" s="59"/>
      <c r="G398" s="59"/>
    </row>
    <row r="400" spans="4:8" ht="12.75">
      <c r="D400" s="59"/>
      <c r="E400" s="59"/>
      <c r="F400" s="59"/>
      <c r="G400" s="59"/>
      <c r="H400" s="59"/>
    </row>
    <row r="401" spans="4:8" ht="12.75">
      <c r="D401" s="59"/>
      <c r="E401" s="59"/>
      <c r="F401" s="59"/>
      <c r="G401" s="59"/>
      <c r="H401" s="59"/>
    </row>
    <row r="403" spans="4:7" ht="12.75">
      <c r="D403" s="59"/>
      <c r="E403" s="59"/>
      <c r="F403" s="59"/>
      <c r="G403" s="59"/>
    </row>
    <row r="404" spans="4:7" ht="12.75">
      <c r="D404" s="59"/>
      <c r="E404" s="59"/>
      <c r="F404" s="59"/>
      <c r="G404" s="59"/>
    </row>
    <row r="406" spans="4:8" ht="12.75">
      <c r="D406" s="59"/>
      <c r="E406" s="59"/>
      <c r="F406" s="59"/>
      <c r="G406" s="59"/>
      <c r="H406" s="59"/>
    </row>
    <row r="407" spans="4:8" ht="12.75">
      <c r="D407" s="59"/>
      <c r="E407" s="59"/>
      <c r="F407" s="59"/>
      <c r="G407" s="59"/>
      <c r="H407" s="59"/>
    </row>
    <row r="408" spans="4:8" ht="12.75">
      <c r="D408" s="59"/>
      <c r="E408" s="59"/>
      <c r="F408" s="59"/>
      <c r="G408" s="59"/>
      <c r="H408" s="59"/>
    </row>
    <row r="410" spans="4:8" ht="12.75">
      <c r="D410" s="59"/>
      <c r="E410" s="59"/>
      <c r="F410" s="59"/>
      <c r="G410" s="59"/>
      <c r="H410" s="59"/>
    </row>
    <row r="412" spans="4:8" ht="12.75">
      <c r="D412" s="59"/>
      <c r="E412" s="59"/>
      <c r="F412" s="59"/>
      <c r="G412" s="59"/>
      <c r="H412" s="59"/>
    </row>
    <row r="413" spans="4:8" ht="12.75">
      <c r="D413" s="59"/>
      <c r="E413" s="59"/>
      <c r="F413" s="59"/>
      <c r="G413" s="59"/>
      <c r="H413" s="59"/>
    </row>
    <row r="414" spans="4:8" ht="12.75">
      <c r="D414" s="59"/>
      <c r="E414" s="59"/>
      <c r="F414" s="59"/>
      <c r="G414" s="59"/>
      <c r="H414" s="59"/>
    </row>
    <row r="415" spans="4:8" ht="12.75">
      <c r="D415" s="59"/>
      <c r="E415" s="59"/>
      <c r="F415" s="59"/>
      <c r="G415" s="59"/>
      <c r="H415" s="59"/>
    </row>
    <row r="416" spans="4:8" ht="12.75">
      <c r="D416" s="59"/>
      <c r="E416" s="59"/>
      <c r="F416" s="59"/>
      <c r="G416" s="59"/>
      <c r="H416" s="59"/>
    </row>
    <row r="417" spans="4:8" ht="12.75">
      <c r="D417" s="59"/>
      <c r="E417" s="59"/>
      <c r="F417" s="59"/>
      <c r="G417" s="59"/>
      <c r="H417" s="59"/>
    </row>
    <row r="419" spans="4:7" ht="12.75">
      <c r="D419" s="59"/>
      <c r="E419" s="59"/>
      <c r="F419" s="59"/>
      <c r="G419" s="59"/>
    </row>
    <row r="420" spans="4:7" ht="12.75">
      <c r="D420" s="59"/>
      <c r="E420" s="59"/>
      <c r="F420" s="59"/>
      <c r="G420" s="59"/>
    </row>
    <row r="421" ht="12.75">
      <c r="D421" s="60"/>
    </row>
    <row r="423" ht="12.75">
      <c r="H423" s="60"/>
    </row>
    <row r="425" spans="4:7" ht="12.75">
      <c r="D425" s="59"/>
      <c r="E425" s="59"/>
      <c r="F425" s="59"/>
      <c r="G425" s="59"/>
    </row>
    <row r="426" spans="4:7" ht="12.75">
      <c r="D426" s="59"/>
      <c r="E426" s="59"/>
      <c r="F426" s="59"/>
      <c r="G426" s="59"/>
    </row>
    <row r="428" spans="4:12" ht="12.75">
      <c r="D428" s="59"/>
      <c r="E428" s="59"/>
      <c r="F428" s="59"/>
      <c r="G428" s="59"/>
      <c r="L428" s="59"/>
    </row>
    <row r="431" spans="4:12" ht="12.75">
      <c r="D431" s="59"/>
      <c r="E431" s="59"/>
      <c r="F431" s="59"/>
      <c r="G431" s="59"/>
      <c r="L431" s="59"/>
    </row>
    <row r="432" spans="4:7" ht="12.75">
      <c r="D432" s="59"/>
      <c r="E432" s="59"/>
      <c r="F432" s="59"/>
      <c r="G432" s="59"/>
    </row>
    <row r="433" spans="4:7" ht="12.75">
      <c r="D433" s="59"/>
      <c r="E433" s="59"/>
      <c r="F433" s="59"/>
      <c r="G433" s="59"/>
    </row>
    <row r="434" spans="4:7" ht="12.75">
      <c r="D434" s="59"/>
      <c r="E434" s="59"/>
      <c r="F434" s="59"/>
      <c r="G434" s="59"/>
    </row>
    <row r="436" spans="4:12" ht="12.75">
      <c r="D436" s="59"/>
      <c r="L436" s="59"/>
    </row>
    <row r="437" spans="4:12" ht="12.75">
      <c r="D437" s="59"/>
      <c r="L437" s="59"/>
    </row>
    <row r="438" spans="4:12" ht="12.75">
      <c r="D438" s="59"/>
      <c r="L438" s="59"/>
    </row>
    <row r="440" spans="4:7" ht="12.75">
      <c r="D440" s="59"/>
      <c r="E440" s="59"/>
      <c r="F440" s="59"/>
      <c r="G440" s="59"/>
    </row>
    <row r="442" spans="4:7" ht="12.75">
      <c r="D442" s="59"/>
      <c r="E442" s="59"/>
      <c r="F442" s="59"/>
      <c r="G442" s="59"/>
    </row>
    <row r="443" spans="4:7" ht="12.75">
      <c r="D443" s="59"/>
      <c r="E443" s="59"/>
      <c r="F443" s="59"/>
      <c r="G443" s="59"/>
    </row>
    <row r="444" spans="4:7" ht="12.75">
      <c r="D444" s="59"/>
      <c r="E444" s="59"/>
      <c r="F444" s="59"/>
      <c r="G444" s="59"/>
    </row>
    <row r="446" spans="4:12" ht="12.75">
      <c r="D446" s="59"/>
      <c r="E446" s="59"/>
      <c r="F446" s="59"/>
      <c r="G446" s="59"/>
      <c r="L446" s="59"/>
    </row>
    <row r="447" spans="4:7" ht="12.75">
      <c r="D447" s="59"/>
      <c r="E447" s="59"/>
      <c r="F447" s="59"/>
      <c r="G447" s="59"/>
    </row>
    <row r="448" spans="4:7" ht="12.75">
      <c r="D448" s="59"/>
      <c r="E448" s="59"/>
      <c r="F448" s="59"/>
      <c r="G448" s="59"/>
    </row>
    <row r="450" spans="4:12" ht="12.75">
      <c r="D450" s="59"/>
      <c r="L450" s="59"/>
    </row>
    <row r="452" spans="4:7" ht="12.75">
      <c r="D452" s="59"/>
      <c r="E452" s="59"/>
      <c r="F452" s="59"/>
      <c r="G452" s="59"/>
    </row>
    <row r="453" spans="4:7" ht="12.75">
      <c r="D453" s="59"/>
      <c r="E453" s="59"/>
      <c r="F453" s="59"/>
      <c r="G453" s="59"/>
    </row>
    <row r="455" spans="4:12" ht="12.75">
      <c r="D455" s="59"/>
      <c r="E455" s="59"/>
      <c r="F455" s="59"/>
      <c r="G455" s="59"/>
      <c r="H455" s="59"/>
      <c r="L455" s="59"/>
    </row>
    <row r="456" spans="4:7" ht="12.75">
      <c r="D456" s="59"/>
      <c r="E456" s="59"/>
      <c r="F456" s="59"/>
      <c r="G456" s="59"/>
    </row>
    <row r="457" spans="4:8" ht="12.75">
      <c r="D457" s="59"/>
      <c r="E457" s="59"/>
      <c r="F457" s="59"/>
      <c r="G457" s="59"/>
      <c r="H457" s="59"/>
    </row>
    <row r="458" spans="4:7" ht="12.75">
      <c r="D458" s="59"/>
      <c r="E458" s="59"/>
      <c r="F458" s="59"/>
      <c r="G458" s="59"/>
    </row>
    <row r="460" spans="4:7" ht="12.75">
      <c r="D460" s="59"/>
      <c r="E460" s="59"/>
      <c r="F460" s="59"/>
      <c r="G460" s="59"/>
    </row>
    <row r="461" spans="4:7" ht="12.75">
      <c r="D461" s="59"/>
      <c r="E461" s="59"/>
      <c r="F461" s="59"/>
      <c r="G461" s="59"/>
    </row>
    <row r="463" spans="4:12" ht="12.75">
      <c r="D463" s="59"/>
      <c r="E463" s="59"/>
      <c r="F463" s="59"/>
      <c r="G463" s="59"/>
      <c r="L463" s="59"/>
    </row>
    <row r="464" spans="4:7" ht="12.75">
      <c r="D464" s="59"/>
      <c r="E464" s="59"/>
      <c r="F464" s="59"/>
      <c r="G464" s="59"/>
    </row>
    <row r="466" spans="4:12" ht="12.75">
      <c r="D466" s="59"/>
      <c r="L466" s="59"/>
    </row>
    <row r="468" spans="4:7" ht="12.75">
      <c r="D468" s="59"/>
      <c r="E468" s="59"/>
      <c r="F468" s="59"/>
      <c r="G468" s="59"/>
    </row>
    <row r="469" spans="4:7" ht="12.75">
      <c r="D469" s="59"/>
      <c r="E469" s="59"/>
      <c r="F469" s="59"/>
      <c r="G469" s="59"/>
    </row>
    <row r="471" spans="4:12" ht="12.75">
      <c r="D471" s="59"/>
      <c r="E471" s="59"/>
      <c r="F471" s="59"/>
      <c r="G471" s="59"/>
      <c r="I471" s="59"/>
      <c r="J471" s="59"/>
      <c r="L471" s="59"/>
    </row>
    <row r="472" spans="4:10" ht="12.75">
      <c r="D472" s="59"/>
      <c r="E472" s="59"/>
      <c r="F472" s="59"/>
      <c r="G472" s="59"/>
      <c r="I472" s="59"/>
      <c r="J472" s="59"/>
    </row>
    <row r="473" spans="4:10" ht="12.75">
      <c r="D473" s="59"/>
      <c r="E473" s="59"/>
      <c r="F473" s="59"/>
      <c r="G473" s="59"/>
      <c r="I473" s="59"/>
      <c r="J473" s="59"/>
    </row>
    <row r="475" spans="4:10" ht="12.75">
      <c r="D475" s="59"/>
      <c r="E475" s="59"/>
      <c r="F475" s="59"/>
      <c r="G475" s="59"/>
      <c r="I475" s="59"/>
      <c r="J475" s="59"/>
    </row>
    <row r="477" spans="4:10" ht="12.75">
      <c r="D477" s="59"/>
      <c r="E477" s="59"/>
      <c r="F477" s="59"/>
      <c r="G477" s="59"/>
      <c r="I477" s="59"/>
      <c r="J477" s="59"/>
    </row>
    <row r="478" spans="4:10" ht="12.75">
      <c r="D478" s="59"/>
      <c r="E478" s="59"/>
      <c r="F478" s="59"/>
      <c r="G478" s="59"/>
      <c r="I478" s="59"/>
      <c r="J478" s="59"/>
    </row>
    <row r="479" spans="4:10" ht="12.75">
      <c r="D479" s="59"/>
      <c r="E479" s="59"/>
      <c r="F479" s="59"/>
      <c r="G479" s="59"/>
      <c r="I479" s="59"/>
      <c r="J479" s="59"/>
    </row>
    <row r="480" spans="4:10" ht="12.75">
      <c r="D480" s="59"/>
      <c r="E480" s="59"/>
      <c r="F480" s="59"/>
      <c r="G480" s="59"/>
      <c r="I480" s="59"/>
      <c r="J480" s="59"/>
    </row>
    <row r="481" spans="4:10" ht="12.75">
      <c r="D481" s="59"/>
      <c r="E481" s="59"/>
      <c r="F481" s="59"/>
      <c r="G481" s="59"/>
      <c r="I481" s="59"/>
      <c r="J481" s="59"/>
    </row>
    <row r="482" spans="4:10" ht="12.75">
      <c r="D482" s="59"/>
      <c r="E482" s="59"/>
      <c r="F482" s="59"/>
      <c r="G482" s="59"/>
      <c r="I482" s="59"/>
      <c r="J482" s="59"/>
    </row>
    <row r="483" spans="4:10" ht="12.75">
      <c r="D483" s="59"/>
      <c r="E483" s="59"/>
      <c r="F483" s="59"/>
      <c r="G483" s="59"/>
      <c r="I483" s="59"/>
      <c r="J483" s="59"/>
    </row>
    <row r="484" spans="4:10" ht="12.75">
      <c r="D484" s="59"/>
      <c r="E484" s="59"/>
      <c r="F484" s="59"/>
      <c r="G484" s="59"/>
      <c r="I484" s="59"/>
      <c r="J484" s="59"/>
    </row>
    <row r="485" spans="4:10" ht="12.75">
      <c r="D485" s="59"/>
      <c r="E485" s="59"/>
      <c r="F485" s="59"/>
      <c r="G485" s="59"/>
      <c r="I485" s="59"/>
      <c r="J485" s="59"/>
    </row>
    <row r="487" spans="4:7" ht="12.75">
      <c r="D487" s="59"/>
      <c r="E487" s="59"/>
      <c r="F487" s="59"/>
      <c r="G487" s="59"/>
    </row>
    <row r="488" spans="4:7" ht="12.75">
      <c r="D488" s="59"/>
      <c r="E488" s="59"/>
      <c r="F488" s="59"/>
      <c r="G488" s="59"/>
    </row>
    <row r="490" spans="4:12" ht="12.75">
      <c r="D490" s="59"/>
      <c r="L490" s="59"/>
    </row>
  </sheetData>
  <autoFilter ref="A11:L269"/>
  <mergeCells count="21">
    <mergeCell ref="A269:C269"/>
    <mergeCell ref="A268:C268"/>
    <mergeCell ref="A251:C251"/>
    <mergeCell ref="A7:A10"/>
    <mergeCell ref="C7:C10"/>
    <mergeCell ref="B7:B10"/>
    <mergeCell ref="C252:L252"/>
    <mergeCell ref="E8:E10"/>
    <mergeCell ref="A5:H5"/>
    <mergeCell ref="F9:F10"/>
    <mergeCell ref="G9:H9"/>
    <mergeCell ref="F8:H8"/>
    <mergeCell ref="M9:M10"/>
    <mergeCell ref="D7:D10"/>
    <mergeCell ref="L8:L10"/>
    <mergeCell ref="I9:I10"/>
    <mergeCell ref="K9:K10"/>
    <mergeCell ref="E7:N7"/>
    <mergeCell ref="J9:J10"/>
    <mergeCell ref="M8:N8"/>
    <mergeCell ref="N9:N10"/>
  </mergeCells>
  <printOptions horizontalCentered="1"/>
  <pageMargins left="0.1968503937007874" right="0.1968503937007874" top="0.23" bottom="0.35" header="0.18" footer="0.16"/>
  <pageSetup fitToHeight="14" horizontalDpi="600" verticalDpi="600" orientation="landscape" pageOrder="overThenDown" paperSize="9" scale="62" r:id="rId1"/>
  <headerFooter alignWithMargins="0">
    <oddFooter>&amp;C
&amp;P/&amp;N</oddFooter>
  </headerFooter>
  <rowBreaks count="1" manualBreakCount="1">
    <brk id="6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SheetLayoutView="100" workbookViewId="0" topLeftCell="A1">
      <selection activeCell="G34" sqref="G34"/>
    </sheetView>
  </sheetViews>
  <sheetFormatPr defaultColWidth="9.00390625" defaultRowHeight="12.75"/>
  <cols>
    <col min="1" max="1" width="4.75390625" style="1" customWidth="1"/>
    <col min="2" max="2" width="6.875" style="3" customWidth="1"/>
    <col min="3" max="3" width="7.75390625" style="3" customWidth="1"/>
    <col min="4" max="4" width="4.875" style="3" customWidth="1"/>
    <col min="5" max="5" width="18.00390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2.625" style="1" customWidth="1"/>
    <col min="11" max="11" width="14.375" style="1" customWidth="1"/>
    <col min="12" max="12" width="9.875" style="3" customWidth="1"/>
    <col min="13" max="13" width="10.125" style="3" bestFit="1" customWidth="1"/>
    <col min="14" max="14" width="16.75390625" style="1" customWidth="1"/>
    <col min="15" max="16384" width="9.125" style="1" customWidth="1"/>
  </cols>
  <sheetData>
    <row r="1" spans="2:12" s="709" customFormat="1" ht="15">
      <c r="B1" s="710"/>
      <c r="C1" s="710"/>
      <c r="D1" s="710"/>
      <c r="F1" s="710"/>
      <c r="G1" s="710"/>
      <c r="H1" s="710"/>
      <c r="L1" s="711" t="s">
        <v>560</v>
      </c>
    </row>
    <row r="2" spans="2:12" s="709" customFormat="1" ht="15">
      <c r="B2" s="710"/>
      <c r="C2" s="710"/>
      <c r="D2" s="710"/>
      <c r="F2" s="710"/>
      <c r="G2" s="710"/>
      <c r="H2" s="710"/>
      <c r="L2" t="s">
        <v>654</v>
      </c>
    </row>
    <row r="3" spans="2:12" s="709" customFormat="1" ht="15">
      <c r="B3" s="710"/>
      <c r="C3" s="710"/>
      <c r="D3" s="710"/>
      <c r="F3" s="710"/>
      <c r="G3" s="710"/>
      <c r="H3" s="710"/>
      <c r="L3" t="s">
        <v>130</v>
      </c>
    </row>
    <row r="4" spans="2:12" s="709" customFormat="1" ht="15">
      <c r="B4" s="710"/>
      <c r="C4" s="710"/>
      <c r="D4" s="710"/>
      <c r="F4" s="710"/>
      <c r="G4" s="710"/>
      <c r="H4" s="710"/>
      <c r="L4" t="s">
        <v>655</v>
      </c>
    </row>
    <row r="6" spans="1:14" ht="18">
      <c r="A6" s="829" t="s">
        <v>561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</row>
    <row r="7" spans="1:14" ht="18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 t="s">
        <v>29</v>
      </c>
    </row>
    <row r="8" spans="1:14" ht="12.75">
      <c r="A8" s="830" t="s">
        <v>32</v>
      </c>
      <c r="B8" s="830" t="s">
        <v>4</v>
      </c>
      <c r="C8" s="830" t="s">
        <v>28</v>
      </c>
      <c r="D8" s="830" t="s">
        <v>87</v>
      </c>
      <c r="E8" s="827" t="s">
        <v>76</v>
      </c>
      <c r="F8" s="827" t="s">
        <v>85</v>
      </c>
      <c r="G8" s="827" t="s">
        <v>41</v>
      </c>
      <c r="H8" s="827"/>
      <c r="I8" s="827"/>
      <c r="J8" s="827"/>
      <c r="K8" s="827"/>
      <c r="L8" s="827"/>
      <c r="M8" s="827"/>
      <c r="N8" s="828" t="s">
        <v>88</v>
      </c>
    </row>
    <row r="9" spans="1:14" ht="12.75">
      <c r="A9" s="830"/>
      <c r="B9" s="830"/>
      <c r="C9" s="830"/>
      <c r="D9" s="830"/>
      <c r="E9" s="827"/>
      <c r="F9" s="827"/>
      <c r="G9" s="827" t="s">
        <v>562</v>
      </c>
      <c r="H9" s="827" t="s">
        <v>116</v>
      </c>
      <c r="I9" s="827"/>
      <c r="J9" s="827"/>
      <c r="K9" s="827"/>
      <c r="L9" s="827" t="s">
        <v>423</v>
      </c>
      <c r="M9" s="827" t="s">
        <v>563</v>
      </c>
      <c r="N9" s="828"/>
    </row>
    <row r="10" spans="1:14" ht="12.75">
      <c r="A10" s="830"/>
      <c r="B10" s="830"/>
      <c r="C10" s="830"/>
      <c r="D10" s="830"/>
      <c r="E10" s="827"/>
      <c r="F10" s="827"/>
      <c r="G10" s="827"/>
      <c r="H10" s="828" t="s">
        <v>89</v>
      </c>
      <c r="I10" s="828" t="s">
        <v>351</v>
      </c>
      <c r="J10" s="828" t="s">
        <v>118</v>
      </c>
      <c r="K10" s="828" t="s">
        <v>75</v>
      </c>
      <c r="L10" s="827"/>
      <c r="M10" s="827"/>
      <c r="N10" s="828"/>
    </row>
    <row r="11" spans="1:14" ht="18" customHeight="1">
      <c r="A11" s="830"/>
      <c r="B11" s="830"/>
      <c r="C11" s="830"/>
      <c r="D11" s="830"/>
      <c r="E11" s="827"/>
      <c r="F11" s="827"/>
      <c r="G11" s="827"/>
      <c r="H11" s="828"/>
      <c r="I11" s="828"/>
      <c r="J11" s="828"/>
      <c r="K11" s="828"/>
      <c r="L11" s="827"/>
      <c r="M11" s="827"/>
      <c r="N11" s="828"/>
    </row>
    <row r="12" spans="1:14" ht="15.75" customHeight="1">
      <c r="A12" s="830"/>
      <c r="B12" s="830"/>
      <c r="C12" s="830"/>
      <c r="D12" s="830"/>
      <c r="E12" s="827"/>
      <c r="F12" s="827"/>
      <c r="G12" s="827"/>
      <c r="H12" s="828"/>
      <c r="I12" s="828"/>
      <c r="J12" s="828"/>
      <c r="K12" s="828"/>
      <c r="L12" s="827"/>
      <c r="M12" s="827"/>
      <c r="N12" s="828"/>
    </row>
    <row r="13" spans="1:14" s="34" customFormat="1" ht="12.7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</row>
    <row r="14" spans="1:14" s="34" customFormat="1" ht="22.5">
      <c r="A14" s="571">
        <v>1</v>
      </c>
      <c r="B14" s="571">
        <v>600</v>
      </c>
      <c r="C14" s="571">
        <v>60016</v>
      </c>
      <c r="D14" s="571">
        <v>6050</v>
      </c>
      <c r="E14" s="278" t="s">
        <v>458</v>
      </c>
      <c r="F14" s="572">
        <v>13150000</v>
      </c>
      <c r="G14" s="572">
        <v>0</v>
      </c>
      <c r="H14" s="573">
        <v>0</v>
      </c>
      <c r="I14" s="574"/>
      <c r="J14" s="575"/>
      <c r="K14" s="574"/>
      <c r="L14" s="576">
        <v>5150000</v>
      </c>
      <c r="M14" s="576">
        <v>8000000</v>
      </c>
      <c r="N14" s="577" t="s">
        <v>352</v>
      </c>
    </row>
    <row r="15" spans="1:14" s="34" customFormat="1" ht="38.25">
      <c r="A15" s="578">
        <v>2</v>
      </c>
      <c r="B15" s="578">
        <v>600</v>
      </c>
      <c r="C15" s="578">
        <v>60016</v>
      </c>
      <c r="D15" s="578">
        <v>6050</v>
      </c>
      <c r="E15" s="97" t="s">
        <v>649</v>
      </c>
      <c r="F15" s="579">
        <v>1030000</v>
      </c>
      <c r="G15" s="579">
        <f>30000+500000</f>
        <v>530000</v>
      </c>
      <c r="H15" s="580">
        <f>+G15</f>
        <v>530000</v>
      </c>
      <c r="I15" s="581"/>
      <c r="J15" s="575" t="s">
        <v>564</v>
      </c>
      <c r="K15" s="581"/>
      <c r="L15" s="582">
        <v>500000</v>
      </c>
      <c r="M15" s="582"/>
      <c r="N15" s="583" t="s">
        <v>352</v>
      </c>
    </row>
    <row r="16" spans="1:14" s="34" customFormat="1" ht="38.25">
      <c r="A16" s="578">
        <v>3</v>
      </c>
      <c r="B16" s="578">
        <v>600</v>
      </c>
      <c r="C16" s="578">
        <v>60016</v>
      </c>
      <c r="D16" s="578">
        <v>6050</v>
      </c>
      <c r="E16" s="97" t="s">
        <v>648</v>
      </c>
      <c r="F16" s="579">
        <v>1030000</v>
      </c>
      <c r="G16" s="579">
        <v>500000</v>
      </c>
      <c r="H16" s="580">
        <v>500000</v>
      </c>
      <c r="I16" s="581"/>
      <c r="J16" s="575" t="s">
        <v>564</v>
      </c>
      <c r="K16" s="581"/>
      <c r="L16" s="582">
        <v>500000</v>
      </c>
      <c r="M16" s="582"/>
      <c r="N16" s="583" t="s">
        <v>352</v>
      </c>
    </row>
    <row r="17" spans="1:14" s="34" customFormat="1" ht="38.25">
      <c r="A17" s="578">
        <v>4</v>
      </c>
      <c r="B17" s="578">
        <v>600</v>
      </c>
      <c r="C17" s="578">
        <v>60016</v>
      </c>
      <c r="D17" s="578">
        <v>6050</v>
      </c>
      <c r="E17" s="97" t="s">
        <v>425</v>
      </c>
      <c r="F17" s="579">
        <v>1250000</v>
      </c>
      <c r="G17" s="579">
        <v>300000</v>
      </c>
      <c r="H17" s="580">
        <v>300000</v>
      </c>
      <c r="I17" s="581"/>
      <c r="J17" s="575" t="s">
        <v>564</v>
      </c>
      <c r="K17" s="581"/>
      <c r="L17" s="582">
        <v>900000</v>
      </c>
      <c r="M17" s="582"/>
      <c r="N17" s="583" t="s">
        <v>352</v>
      </c>
    </row>
    <row r="18" spans="1:14" s="34" customFormat="1" ht="78.75">
      <c r="A18" s="578">
        <v>5</v>
      </c>
      <c r="B18" s="578">
        <v>600</v>
      </c>
      <c r="C18" s="578">
        <v>60016</v>
      </c>
      <c r="D18" s="578">
        <v>6050</v>
      </c>
      <c r="E18" s="97" t="s">
        <v>489</v>
      </c>
      <c r="F18" s="579">
        <v>1545000</v>
      </c>
      <c r="G18" s="579">
        <v>500000</v>
      </c>
      <c r="H18" s="580">
        <v>500000</v>
      </c>
      <c r="I18" s="581"/>
      <c r="J18" s="575" t="s">
        <v>564</v>
      </c>
      <c r="K18" s="581"/>
      <c r="L18" s="582">
        <v>1000000</v>
      </c>
      <c r="M18" s="582"/>
      <c r="N18" s="583" t="s">
        <v>352</v>
      </c>
    </row>
    <row r="19" spans="1:14" ht="38.25">
      <c r="A19" s="578">
        <v>6</v>
      </c>
      <c r="B19" s="578">
        <v>600</v>
      </c>
      <c r="C19" s="578">
        <v>60016</v>
      </c>
      <c r="D19" s="578">
        <v>6050</v>
      </c>
      <c r="E19" s="97" t="s">
        <v>455</v>
      </c>
      <c r="F19" s="579">
        <v>535380</v>
      </c>
      <c r="G19" s="579">
        <f>200000+300000</f>
        <v>500000</v>
      </c>
      <c r="H19" s="580">
        <f>+G19</f>
        <v>500000</v>
      </c>
      <c r="I19" s="581"/>
      <c r="J19" s="575" t="s">
        <v>564</v>
      </c>
      <c r="K19" s="581"/>
      <c r="L19" s="582"/>
      <c r="M19" s="582"/>
      <c r="N19" s="583" t="s">
        <v>352</v>
      </c>
    </row>
    <row r="20" spans="1:14" s="712" customFormat="1" ht="38.25">
      <c r="A20" s="578">
        <v>7</v>
      </c>
      <c r="B20" s="578">
        <v>600</v>
      </c>
      <c r="C20" s="578">
        <v>60016</v>
      </c>
      <c r="D20" s="578">
        <v>6050</v>
      </c>
      <c r="E20" s="97" t="s">
        <v>565</v>
      </c>
      <c r="F20" s="579">
        <v>1168880</v>
      </c>
      <c r="G20" s="579">
        <v>1050000</v>
      </c>
      <c r="H20" s="580">
        <f>+G20</f>
        <v>1050000</v>
      </c>
      <c r="I20" s="581"/>
      <c r="J20" s="575" t="s">
        <v>564</v>
      </c>
      <c r="K20" s="581"/>
      <c r="L20" s="582">
        <v>50000</v>
      </c>
      <c r="M20" s="582"/>
      <c r="N20" s="583" t="s">
        <v>352</v>
      </c>
    </row>
    <row r="21" spans="1:14" ht="38.25">
      <c r="A21" s="578">
        <v>8</v>
      </c>
      <c r="B21" s="578">
        <v>700</v>
      </c>
      <c r="C21" s="578">
        <v>70095</v>
      </c>
      <c r="D21" s="578">
        <v>6050</v>
      </c>
      <c r="E21" s="97" t="s">
        <v>353</v>
      </c>
      <c r="F21" s="579">
        <v>2548906</v>
      </c>
      <c r="G21" s="579">
        <v>1000000</v>
      </c>
      <c r="H21" s="580">
        <v>1000000</v>
      </c>
      <c r="I21" s="581"/>
      <c r="J21" s="575" t="s">
        <v>564</v>
      </c>
      <c r="K21" s="581"/>
      <c r="L21" s="582">
        <v>500000</v>
      </c>
      <c r="M21" s="582"/>
      <c r="N21" s="583" t="s">
        <v>352</v>
      </c>
    </row>
    <row r="22" spans="1:14" s="584" customFormat="1" ht="56.25">
      <c r="A22" s="578">
        <v>9</v>
      </c>
      <c r="B22" s="578">
        <v>700</v>
      </c>
      <c r="C22" s="578">
        <v>70095</v>
      </c>
      <c r="D22" s="578">
        <v>6050</v>
      </c>
      <c r="E22" s="97" t="s">
        <v>566</v>
      </c>
      <c r="F22" s="579">
        <v>1764000</v>
      </c>
      <c r="G22" s="579">
        <v>500000</v>
      </c>
      <c r="H22" s="582">
        <v>500000</v>
      </c>
      <c r="I22" s="583"/>
      <c r="J22" s="575" t="s">
        <v>564</v>
      </c>
      <c r="K22" s="583"/>
      <c r="L22" s="582">
        <v>1150000</v>
      </c>
      <c r="M22" s="582"/>
      <c r="N22" s="583" t="s">
        <v>352</v>
      </c>
    </row>
    <row r="23" spans="1:14" s="584" customFormat="1" ht="90">
      <c r="A23" s="578">
        <v>10</v>
      </c>
      <c r="B23" s="578">
        <v>700</v>
      </c>
      <c r="C23" s="578">
        <v>70095</v>
      </c>
      <c r="D23" s="578">
        <v>6050</v>
      </c>
      <c r="E23" s="97" t="s">
        <v>567</v>
      </c>
      <c r="F23" s="579">
        <v>700000</v>
      </c>
      <c r="G23" s="579">
        <v>652000</v>
      </c>
      <c r="H23" s="582">
        <v>652000</v>
      </c>
      <c r="I23" s="583"/>
      <c r="J23" s="575" t="s">
        <v>564</v>
      </c>
      <c r="K23" s="583"/>
      <c r="L23" s="582"/>
      <c r="M23" s="582" t="s">
        <v>23</v>
      </c>
      <c r="N23" s="583" t="s">
        <v>352</v>
      </c>
    </row>
    <row r="24" spans="1:14" s="584" customFormat="1" ht="78.75">
      <c r="A24" s="578">
        <v>11</v>
      </c>
      <c r="B24" s="578">
        <v>700</v>
      </c>
      <c r="C24" s="578">
        <v>70095</v>
      </c>
      <c r="D24" s="578">
        <v>6050</v>
      </c>
      <c r="E24" s="97" t="s">
        <v>568</v>
      </c>
      <c r="F24" s="579">
        <v>281000</v>
      </c>
      <c r="G24" s="579">
        <v>264000</v>
      </c>
      <c r="H24" s="582">
        <v>264000</v>
      </c>
      <c r="I24" s="583"/>
      <c r="J24" s="575" t="s">
        <v>564</v>
      </c>
      <c r="K24" s="583"/>
      <c r="L24" s="582"/>
      <c r="M24" s="582"/>
      <c r="N24" s="583" t="s">
        <v>352</v>
      </c>
    </row>
    <row r="25" spans="1:14" s="584" customFormat="1" ht="38.25">
      <c r="A25" s="578">
        <v>12</v>
      </c>
      <c r="B25" s="578">
        <v>700</v>
      </c>
      <c r="C25" s="578">
        <v>70095</v>
      </c>
      <c r="D25" s="578">
        <v>6050</v>
      </c>
      <c r="E25" s="97" t="s">
        <v>569</v>
      </c>
      <c r="F25" s="579">
        <v>536000</v>
      </c>
      <c r="G25" s="579">
        <v>0</v>
      </c>
      <c r="H25" s="582">
        <v>0</v>
      </c>
      <c r="I25" s="583"/>
      <c r="J25" s="575" t="s">
        <v>564</v>
      </c>
      <c r="K25" s="583"/>
      <c r="L25" s="582">
        <v>500000</v>
      </c>
      <c r="M25" s="582">
        <v>50000</v>
      </c>
      <c r="N25" s="583" t="s">
        <v>352</v>
      </c>
    </row>
    <row r="26" spans="1:14" s="584" customFormat="1" ht="78.75">
      <c r="A26" s="578">
        <v>13</v>
      </c>
      <c r="B26" s="578">
        <v>700</v>
      </c>
      <c r="C26" s="578">
        <v>70095</v>
      </c>
      <c r="D26" s="578">
        <v>6050</v>
      </c>
      <c r="E26" s="97" t="s">
        <v>487</v>
      </c>
      <c r="F26" s="579">
        <v>3185000</v>
      </c>
      <c r="G26" s="579">
        <v>100000</v>
      </c>
      <c r="H26" s="582">
        <v>100000</v>
      </c>
      <c r="I26" s="583"/>
      <c r="J26" s="575" t="s">
        <v>564</v>
      </c>
      <c r="K26" s="583"/>
      <c r="L26" s="582">
        <v>2925000</v>
      </c>
      <c r="M26" s="582"/>
      <c r="N26" s="583"/>
    </row>
    <row r="27" spans="1:14" s="584" customFormat="1" ht="101.25">
      <c r="A27" s="578">
        <v>14</v>
      </c>
      <c r="B27" s="578">
        <v>700</v>
      </c>
      <c r="C27" s="578">
        <v>70095</v>
      </c>
      <c r="D27" s="578">
        <v>6050</v>
      </c>
      <c r="E27" s="97" t="s">
        <v>488</v>
      </c>
      <c r="F27" s="579">
        <v>1943000</v>
      </c>
      <c r="G27" s="579">
        <v>100000</v>
      </c>
      <c r="H27" s="582">
        <v>100000</v>
      </c>
      <c r="I27" s="583"/>
      <c r="J27" s="575" t="s">
        <v>564</v>
      </c>
      <c r="K27" s="583"/>
      <c r="L27" s="582">
        <v>1710000</v>
      </c>
      <c r="M27" s="582"/>
      <c r="N27" s="583"/>
    </row>
    <row r="28" spans="1:14" ht="38.25">
      <c r="A28" s="578">
        <v>15</v>
      </c>
      <c r="B28" s="578">
        <v>754</v>
      </c>
      <c r="C28" s="578">
        <v>75412</v>
      </c>
      <c r="D28" s="578">
        <v>6050</v>
      </c>
      <c r="E28" s="97" t="s">
        <v>456</v>
      </c>
      <c r="F28" s="579">
        <v>1554800</v>
      </c>
      <c r="G28" s="579">
        <v>380000</v>
      </c>
      <c r="H28" s="580">
        <f>+G28</f>
        <v>380000</v>
      </c>
      <c r="I28" s="581"/>
      <c r="J28" s="575" t="s">
        <v>564</v>
      </c>
      <c r="K28" s="581"/>
      <c r="L28" s="582">
        <f>860000+120000</f>
        <v>980000</v>
      </c>
      <c r="M28" s="582"/>
      <c r="N28" s="583" t="s">
        <v>352</v>
      </c>
    </row>
    <row r="29" spans="1:14" s="712" customFormat="1" ht="45">
      <c r="A29" s="578">
        <v>16</v>
      </c>
      <c r="B29" s="578">
        <v>900</v>
      </c>
      <c r="C29" s="578">
        <v>90001</v>
      </c>
      <c r="D29" s="578">
        <v>6050</v>
      </c>
      <c r="E29" s="97" t="s">
        <v>570</v>
      </c>
      <c r="F29" s="579">
        <v>3000000</v>
      </c>
      <c r="G29" s="579">
        <v>3000000</v>
      </c>
      <c r="H29" s="582">
        <v>3000000</v>
      </c>
      <c r="I29" s="581"/>
      <c r="J29" s="575" t="s">
        <v>564</v>
      </c>
      <c r="K29" s="581"/>
      <c r="L29" s="582"/>
      <c r="M29" s="581"/>
      <c r="N29" s="583"/>
    </row>
    <row r="30" spans="1:14" ht="38.25">
      <c r="A30" s="578">
        <v>17</v>
      </c>
      <c r="B30" s="578">
        <v>900</v>
      </c>
      <c r="C30" s="578">
        <v>90015</v>
      </c>
      <c r="D30" s="578">
        <v>6050</v>
      </c>
      <c r="E30" s="97" t="s">
        <v>426</v>
      </c>
      <c r="F30" s="579">
        <v>447165</v>
      </c>
      <c r="G30" s="579">
        <v>200000</v>
      </c>
      <c r="H30" s="582">
        <v>200000</v>
      </c>
      <c r="I30" s="581"/>
      <c r="J30" s="575" t="s">
        <v>564</v>
      </c>
      <c r="K30" s="581"/>
      <c r="L30" s="582"/>
      <c r="M30" s="581"/>
      <c r="N30" s="583" t="s">
        <v>352</v>
      </c>
    </row>
    <row r="31" spans="1:14" s="584" customFormat="1" ht="38.25">
      <c r="A31" s="578">
        <v>18</v>
      </c>
      <c r="B31" s="578">
        <v>900</v>
      </c>
      <c r="C31" s="578">
        <v>90015</v>
      </c>
      <c r="D31" s="578">
        <v>6050</v>
      </c>
      <c r="E31" s="97" t="s">
        <v>571</v>
      </c>
      <c r="F31" s="579">
        <v>438000</v>
      </c>
      <c r="G31" s="579">
        <v>0</v>
      </c>
      <c r="H31" s="582">
        <v>0</v>
      </c>
      <c r="I31" s="581"/>
      <c r="J31" s="575" t="s">
        <v>564</v>
      </c>
      <c r="K31" s="581"/>
      <c r="L31" s="582">
        <v>400000</v>
      </c>
      <c r="M31" s="581"/>
      <c r="N31" s="583" t="s">
        <v>352</v>
      </c>
    </row>
    <row r="32" spans="1:14" ht="38.25">
      <c r="A32" s="578">
        <v>19</v>
      </c>
      <c r="B32" s="578">
        <v>926</v>
      </c>
      <c r="C32" s="578">
        <v>92601</v>
      </c>
      <c r="D32" s="578">
        <v>6050</v>
      </c>
      <c r="E32" s="97" t="s">
        <v>457</v>
      </c>
      <c r="F32" s="579">
        <v>500000</v>
      </c>
      <c r="G32" s="579">
        <f>+H32</f>
        <v>0</v>
      </c>
      <c r="H32" s="580">
        <v>0</v>
      </c>
      <c r="I32" s="581"/>
      <c r="J32" s="575" t="s">
        <v>564</v>
      </c>
      <c r="K32" s="581"/>
      <c r="L32" s="582">
        <v>500000</v>
      </c>
      <c r="M32" s="582"/>
      <c r="N32" s="583" t="s">
        <v>352</v>
      </c>
    </row>
    <row r="33" spans="1:14" s="584" customFormat="1" ht="45">
      <c r="A33" s="578">
        <v>20</v>
      </c>
      <c r="B33" s="578">
        <v>926</v>
      </c>
      <c r="C33" s="578">
        <v>92601</v>
      </c>
      <c r="D33" s="578">
        <v>6050</v>
      </c>
      <c r="E33" s="97" t="s">
        <v>572</v>
      </c>
      <c r="F33" s="579">
        <v>25200000</v>
      </c>
      <c r="G33" s="579">
        <v>0</v>
      </c>
      <c r="H33" s="580">
        <f>+G33</f>
        <v>0</v>
      </c>
      <c r="I33" s="581"/>
      <c r="J33" s="575" t="s">
        <v>564</v>
      </c>
      <c r="K33" s="581"/>
      <c r="L33" s="582">
        <v>10000000</v>
      </c>
      <c r="M33" s="582">
        <f>13060000+1940000</f>
        <v>15000000</v>
      </c>
      <c r="N33" s="583" t="s">
        <v>352</v>
      </c>
    </row>
    <row r="34" spans="1:14" ht="12.75">
      <c r="A34" s="826" t="s">
        <v>83</v>
      </c>
      <c r="B34" s="826"/>
      <c r="C34" s="826"/>
      <c r="D34" s="826"/>
      <c r="E34" s="826"/>
      <c r="F34" s="585">
        <f>SUM(F14:F33)</f>
        <v>61807131</v>
      </c>
      <c r="G34" s="585">
        <f>SUM(G14:G33)</f>
        <v>9576000</v>
      </c>
      <c r="H34" s="585">
        <f>SUM(H14:H33)</f>
        <v>9576000</v>
      </c>
      <c r="I34" s="586"/>
      <c r="J34" s="586"/>
      <c r="K34" s="586"/>
      <c r="L34" s="585">
        <f>SUM(L14:L33)</f>
        <v>26765000</v>
      </c>
      <c r="M34" s="585">
        <f>SUM(M14:M33)</f>
        <v>23050000</v>
      </c>
      <c r="N34" s="44" t="s">
        <v>31</v>
      </c>
    </row>
    <row r="35" spans="1:14" ht="12.75">
      <c r="A35" s="237"/>
      <c r="B35" s="236"/>
      <c r="C35" s="236"/>
      <c r="D35" s="236"/>
      <c r="E35" s="237"/>
      <c r="F35" s="236"/>
      <c r="G35" s="236"/>
      <c r="H35" s="236"/>
      <c r="I35" s="237"/>
      <c r="J35" s="237"/>
      <c r="K35" s="237"/>
      <c r="L35" s="236"/>
      <c r="M35" s="236"/>
      <c r="N35" s="237"/>
    </row>
    <row r="36" spans="1:14" ht="12.75">
      <c r="A36" s="5" t="s">
        <v>39</v>
      </c>
      <c r="B36" s="4"/>
      <c r="C36" s="4"/>
      <c r="D36" s="4"/>
      <c r="E36" s="5"/>
      <c r="F36" s="4"/>
      <c r="G36" s="4"/>
      <c r="H36" s="4"/>
      <c r="I36" s="5"/>
      <c r="J36" s="5"/>
      <c r="K36" s="5"/>
      <c r="L36" s="4"/>
      <c r="M36" s="4"/>
      <c r="N36" s="5"/>
    </row>
    <row r="37" spans="1:14" ht="12.75">
      <c r="A37" s="5" t="s">
        <v>36</v>
      </c>
      <c r="B37" s="4"/>
      <c r="C37" s="4"/>
      <c r="D37" s="4"/>
      <c r="E37" s="5"/>
      <c r="F37" s="4"/>
      <c r="G37" s="4"/>
      <c r="H37" s="4"/>
      <c r="I37" s="5"/>
      <c r="J37" s="5"/>
      <c r="K37" s="5" t="s">
        <v>23</v>
      </c>
      <c r="L37" s="4"/>
      <c r="M37" s="4"/>
      <c r="N37" s="5"/>
    </row>
    <row r="38" spans="1:14" ht="12.75">
      <c r="A38" s="5" t="s">
        <v>37</v>
      </c>
      <c r="B38" s="4"/>
      <c r="C38" s="4"/>
      <c r="D38" s="4"/>
      <c r="E38" s="5"/>
      <c r="F38" s="4"/>
      <c r="G38" s="4"/>
      <c r="H38" s="4"/>
      <c r="I38" s="5"/>
      <c r="J38" s="5"/>
      <c r="K38" s="5" t="s">
        <v>23</v>
      </c>
      <c r="L38" s="4"/>
      <c r="M38" s="4"/>
      <c r="N38" s="5"/>
    </row>
    <row r="39" spans="1:14" ht="12.75">
      <c r="A39" s="5" t="s">
        <v>38</v>
      </c>
      <c r="B39" s="4"/>
      <c r="C39" s="4"/>
      <c r="D39" s="4"/>
      <c r="E39" s="5"/>
      <c r="F39" s="4"/>
      <c r="G39" s="4"/>
      <c r="H39" s="4"/>
      <c r="I39" s="5"/>
      <c r="J39" s="5"/>
      <c r="K39" s="5"/>
      <c r="L39" s="4"/>
      <c r="M39" s="4"/>
      <c r="N39" s="5"/>
    </row>
    <row r="40" spans="1:14" ht="7.5" customHeight="1">
      <c r="A40" s="5"/>
      <c r="B40" s="4"/>
      <c r="C40" s="4"/>
      <c r="D40" s="4"/>
      <c r="E40" s="5"/>
      <c r="F40" s="4"/>
      <c r="G40" s="4"/>
      <c r="H40" s="4"/>
      <c r="I40" s="5"/>
      <c r="J40" s="5"/>
      <c r="K40" s="5" t="s">
        <v>23</v>
      </c>
      <c r="L40" s="4" t="s">
        <v>241</v>
      </c>
      <c r="M40" s="4"/>
      <c r="N40" s="5"/>
    </row>
    <row r="41" spans="1:14" ht="12.75" hidden="1">
      <c r="A41" s="587" t="s">
        <v>23</v>
      </c>
      <c r="B41" s="238" t="s">
        <v>23</v>
      </c>
      <c r="C41" s="238" t="s">
        <v>23</v>
      </c>
      <c r="D41" s="238" t="s">
        <v>23</v>
      </c>
      <c r="E41" s="65" t="s">
        <v>23</v>
      </c>
      <c r="F41" s="238"/>
      <c r="G41" s="238"/>
      <c r="H41" s="238"/>
      <c r="I41" s="65"/>
      <c r="J41" s="65"/>
      <c r="K41" s="65"/>
      <c r="L41" s="238"/>
      <c r="M41" s="238"/>
      <c r="N41" s="65"/>
    </row>
    <row r="42" spans="1:14" ht="12.75" hidden="1">
      <c r="A42" s="5"/>
      <c r="B42" s="4"/>
      <c r="C42" s="4"/>
      <c r="D42" s="4"/>
      <c r="E42" s="5"/>
      <c r="F42" s="4"/>
      <c r="G42" s="4"/>
      <c r="H42" s="4"/>
      <c r="I42" s="5"/>
      <c r="J42" s="5"/>
      <c r="K42" s="5"/>
      <c r="L42" s="4"/>
      <c r="M42" s="4"/>
      <c r="N42" s="5"/>
    </row>
    <row r="43" spans="1:14" ht="12.75">
      <c r="A43" s="588" t="s">
        <v>23</v>
      </c>
      <c r="B43" s="4" t="s">
        <v>23</v>
      </c>
      <c r="C43" s="4" t="s">
        <v>23</v>
      </c>
      <c r="D43" s="4" t="s">
        <v>23</v>
      </c>
      <c r="E43" s="5" t="s">
        <v>23</v>
      </c>
      <c r="F43" s="4"/>
      <c r="G43" s="4"/>
      <c r="H43" s="4"/>
      <c r="I43" s="5"/>
      <c r="J43" s="5"/>
      <c r="K43" s="5"/>
      <c r="L43" s="4"/>
      <c r="M43" s="4"/>
      <c r="N43" s="5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34:E34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showGridLines="0" view="pageBreakPreview" zoomScaleSheetLayoutView="100" workbookViewId="0" topLeftCell="A40">
      <selection activeCell="N2" sqref="N2:N4"/>
    </sheetView>
  </sheetViews>
  <sheetFormatPr defaultColWidth="9.00390625" defaultRowHeight="12.75"/>
  <cols>
    <col min="1" max="1" width="3.625" style="10" bestFit="1" customWidth="1"/>
    <col min="2" max="2" width="19.875" style="10" customWidth="1"/>
    <col min="3" max="3" width="13.00390625" style="10" customWidth="1"/>
    <col min="4" max="4" width="10.625" style="10" customWidth="1"/>
    <col min="5" max="5" width="12.00390625" style="10" customWidth="1"/>
    <col min="6" max="6" width="10.875" style="10" bestFit="1" customWidth="1"/>
    <col min="7" max="7" width="11.00390625" style="10" customWidth="1"/>
    <col min="8" max="8" width="10.375" style="10" customWidth="1"/>
    <col min="9" max="9" width="8.375" style="10" customWidth="1"/>
    <col min="10" max="11" width="7.75390625" style="10" customWidth="1"/>
    <col min="12" max="12" width="9.75390625" style="10" customWidth="1"/>
    <col min="13" max="13" width="11.75390625" style="10" customWidth="1"/>
    <col min="14" max="14" width="12.375" style="10" customWidth="1"/>
    <col min="15" max="15" width="8.25390625" style="10" customWidth="1"/>
    <col min="16" max="16" width="8.125" style="10" customWidth="1"/>
    <col min="17" max="17" width="8.75390625" style="10" customWidth="1"/>
    <col min="18" max="16384" width="10.25390625" style="10" customWidth="1"/>
  </cols>
  <sheetData>
    <row r="1" s="713" customFormat="1" ht="15">
      <c r="N1" s="711" t="s">
        <v>531</v>
      </c>
    </row>
    <row r="2" s="713" customFormat="1" ht="14.25">
      <c r="N2" t="s">
        <v>654</v>
      </c>
    </row>
    <row r="3" s="713" customFormat="1" ht="14.25">
      <c r="N3" t="s">
        <v>130</v>
      </c>
    </row>
    <row r="4" s="713" customFormat="1" ht="14.25">
      <c r="N4" t="s">
        <v>655</v>
      </c>
    </row>
    <row r="5" spans="1:17" ht="12.75">
      <c r="A5" s="835" t="s">
        <v>77</v>
      </c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</row>
    <row r="7" spans="1:17" ht="11.25">
      <c r="A7" s="839" t="s">
        <v>32</v>
      </c>
      <c r="B7" s="839" t="s">
        <v>42</v>
      </c>
      <c r="C7" s="836" t="s">
        <v>43</v>
      </c>
      <c r="D7" s="836" t="s">
        <v>117</v>
      </c>
      <c r="E7" s="836" t="s">
        <v>82</v>
      </c>
      <c r="F7" s="839" t="s">
        <v>8</v>
      </c>
      <c r="G7" s="839"/>
      <c r="H7" s="839" t="s">
        <v>41</v>
      </c>
      <c r="I7" s="839"/>
      <c r="J7" s="839"/>
      <c r="K7" s="839"/>
      <c r="L7" s="839"/>
      <c r="M7" s="839"/>
      <c r="N7" s="839"/>
      <c r="O7" s="839"/>
      <c r="P7" s="839"/>
      <c r="Q7" s="839"/>
    </row>
    <row r="8" spans="1:17" ht="11.25">
      <c r="A8" s="839"/>
      <c r="B8" s="839"/>
      <c r="C8" s="836"/>
      <c r="D8" s="836"/>
      <c r="E8" s="836"/>
      <c r="F8" s="836" t="s">
        <v>79</v>
      </c>
      <c r="G8" s="836" t="s">
        <v>80</v>
      </c>
      <c r="H8" s="839" t="s">
        <v>422</v>
      </c>
      <c r="I8" s="839"/>
      <c r="J8" s="839"/>
      <c r="K8" s="839"/>
      <c r="L8" s="839"/>
      <c r="M8" s="839"/>
      <c r="N8" s="839"/>
      <c r="O8" s="839"/>
      <c r="P8" s="839"/>
      <c r="Q8" s="839"/>
    </row>
    <row r="9" spans="1:17" ht="11.25">
      <c r="A9" s="839"/>
      <c r="B9" s="839"/>
      <c r="C9" s="836"/>
      <c r="D9" s="836"/>
      <c r="E9" s="836"/>
      <c r="F9" s="836"/>
      <c r="G9" s="836"/>
      <c r="H9" s="836" t="s">
        <v>45</v>
      </c>
      <c r="I9" s="839" t="s">
        <v>46</v>
      </c>
      <c r="J9" s="839"/>
      <c r="K9" s="839"/>
      <c r="L9" s="839"/>
      <c r="M9" s="839"/>
      <c r="N9" s="839"/>
      <c r="O9" s="839"/>
      <c r="P9" s="839"/>
      <c r="Q9" s="839"/>
    </row>
    <row r="10" spans="1:17" ht="11.25">
      <c r="A10" s="839"/>
      <c r="B10" s="839"/>
      <c r="C10" s="836"/>
      <c r="D10" s="836"/>
      <c r="E10" s="836"/>
      <c r="F10" s="836"/>
      <c r="G10" s="836"/>
      <c r="H10" s="836"/>
      <c r="I10" s="839" t="s">
        <v>47</v>
      </c>
      <c r="J10" s="839"/>
      <c r="K10" s="839"/>
      <c r="L10" s="839"/>
      <c r="M10" s="839" t="s">
        <v>44</v>
      </c>
      <c r="N10" s="839"/>
      <c r="O10" s="839"/>
      <c r="P10" s="839"/>
      <c r="Q10" s="839"/>
    </row>
    <row r="11" spans="1:17" ht="11.25">
      <c r="A11" s="839"/>
      <c r="B11" s="839"/>
      <c r="C11" s="836"/>
      <c r="D11" s="836"/>
      <c r="E11" s="836"/>
      <c r="F11" s="836"/>
      <c r="G11" s="836"/>
      <c r="H11" s="836"/>
      <c r="I11" s="836" t="s">
        <v>48</v>
      </c>
      <c r="J11" s="839" t="s">
        <v>49</v>
      </c>
      <c r="K11" s="839"/>
      <c r="L11" s="839"/>
      <c r="M11" s="836" t="s">
        <v>50</v>
      </c>
      <c r="N11" s="836" t="s">
        <v>49</v>
      </c>
      <c r="O11" s="836"/>
      <c r="P11" s="836"/>
      <c r="Q11" s="836"/>
    </row>
    <row r="12" spans="1:17" ht="45">
      <c r="A12" s="839"/>
      <c r="B12" s="839"/>
      <c r="C12" s="836"/>
      <c r="D12" s="836"/>
      <c r="E12" s="836"/>
      <c r="F12" s="836"/>
      <c r="G12" s="836"/>
      <c r="H12" s="836"/>
      <c r="I12" s="836"/>
      <c r="J12" s="33" t="s">
        <v>81</v>
      </c>
      <c r="K12" s="33" t="s">
        <v>51</v>
      </c>
      <c r="L12" s="33" t="s">
        <v>52</v>
      </c>
      <c r="M12" s="836"/>
      <c r="N12" s="33" t="s">
        <v>53</v>
      </c>
      <c r="O12" s="33" t="s">
        <v>81</v>
      </c>
      <c r="P12" s="33" t="s">
        <v>51</v>
      </c>
      <c r="Q12" s="33" t="s">
        <v>54</v>
      </c>
    </row>
    <row r="13" spans="1:17" ht="11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</row>
    <row r="14" spans="1:17" s="45" customFormat="1" ht="22.5">
      <c r="A14" s="93">
        <v>1</v>
      </c>
      <c r="B14" s="100" t="s">
        <v>55</v>
      </c>
      <c r="C14" s="837"/>
      <c r="D14" s="838"/>
      <c r="E14" s="101">
        <f>SUM(E19,E27,E35,E42,E49,E58,E67,E76,E85,)</f>
        <v>35592000</v>
      </c>
      <c r="F14" s="101">
        <f aca="true" t="shared" si="0" ref="F14:K14">SUM(F19,F27,F35,F42,F49,F58,F67,F76,F85)</f>
        <v>25443209</v>
      </c>
      <c r="G14" s="101">
        <f t="shared" si="0"/>
        <v>10118791</v>
      </c>
      <c r="H14" s="101">
        <f t="shared" si="0"/>
        <v>0</v>
      </c>
      <c r="I14" s="101">
        <f t="shared" si="0"/>
        <v>0</v>
      </c>
      <c r="J14" s="101">
        <f t="shared" si="0"/>
        <v>0</v>
      </c>
      <c r="K14" s="101">
        <f t="shared" si="0"/>
        <v>0</v>
      </c>
      <c r="L14" s="101">
        <f aca="true" t="shared" si="1" ref="L14:Q14">SUM(L19,L27,L35,L42,L49,L58,L67,L76,L85)</f>
        <v>0</v>
      </c>
      <c r="M14" s="101">
        <f t="shared" si="1"/>
        <v>0</v>
      </c>
      <c r="N14" s="101">
        <f t="shared" si="1"/>
        <v>0</v>
      </c>
      <c r="O14" s="101">
        <f t="shared" si="1"/>
        <v>0</v>
      </c>
      <c r="P14" s="101">
        <f t="shared" si="1"/>
        <v>0</v>
      </c>
      <c r="Q14" s="101">
        <f t="shared" si="1"/>
        <v>0</v>
      </c>
    </row>
    <row r="15" spans="1:17" ht="12.75">
      <c r="A15" s="840" t="s">
        <v>56</v>
      </c>
      <c r="B15" s="831" t="s">
        <v>441</v>
      </c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3"/>
    </row>
    <row r="16" spans="1:17" ht="12.75" customHeight="1">
      <c r="A16" s="841"/>
      <c r="B16" s="831" t="s">
        <v>442</v>
      </c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3"/>
    </row>
    <row r="17" spans="1:17" ht="12.75" customHeight="1">
      <c r="A17" s="841"/>
      <c r="B17" s="831" t="s">
        <v>443</v>
      </c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3"/>
    </row>
    <row r="18" spans="1:17" ht="12.75" customHeight="1">
      <c r="A18" s="841"/>
      <c r="B18" s="831" t="s">
        <v>644</v>
      </c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3"/>
    </row>
    <row r="19" spans="1:17" ht="11.25">
      <c r="A19" s="841"/>
      <c r="B19" s="102" t="s">
        <v>57</v>
      </c>
      <c r="C19" s="279"/>
      <c r="D19" s="280">
        <v>600.60016</v>
      </c>
      <c r="E19" s="103">
        <v>1545000</v>
      </c>
      <c r="F19" s="103">
        <v>465000</v>
      </c>
      <c r="G19" s="103">
        <v>1050000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841"/>
      <c r="B20" s="39" t="s">
        <v>439</v>
      </c>
      <c r="C20" s="281"/>
      <c r="D20" s="282"/>
      <c r="E20" s="104">
        <v>45000</v>
      </c>
      <c r="F20" s="104">
        <v>45000</v>
      </c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1.25">
      <c r="A21" s="841"/>
      <c r="B21" s="39" t="s">
        <v>422</v>
      </c>
      <c r="C21" s="281"/>
      <c r="D21" s="282"/>
      <c r="E21" s="104">
        <v>500000</v>
      </c>
      <c r="F21" s="104">
        <v>150000</v>
      </c>
      <c r="G21" s="106">
        <v>350000</v>
      </c>
      <c r="H21" s="299"/>
      <c r="I21" s="105"/>
      <c r="J21" s="105"/>
      <c r="K21" s="105"/>
      <c r="L21" s="105"/>
      <c r="M21" s="105"/>
      <c r="N21" s="105"/>
      <c r="O21" s="105"/>
      <c r="P21" s="105"/>
      <c r="Q21" s="105"/>
    </row>
    <row r="22" spans="1:17" ht="11.25">
      <c r="A22" s="841"/>
      <c r="B22" s="39" t="s">
        <v>423</v>
      </c>
      <c r="C22" s="281"/>
      <c r="D22" s="282"/>
      <c r="E22" s="104">
        <v>1000000</v>
      </c>
      <c r="F22" s="104">
        <v>300000</v>
      </c>
      <c r="G22" s="104">
        <v>700000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</row>
    <row r="23" spans="1:17" ht="12.75" customHeight="1">
      <c r="A23" s="108"/>
      <c r="B23" s="831" t="s">
        <v>441</v>
      </c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3"/>
    </row>
    <row r="24" spans="1:17" ht="12.75" customHeight="1">
      <c r="A24" s="109"/>
      <c r="B24" s="831" t="s">
        <v>442</v>
      </c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3"/>
    </row>
    <row r="25" spans="1:17" ht="12.75" customHeight="1">
      <c r="A25" s="109"/>
      <c r="B25" s="831" t="s">
        <v>443</v>
      </c>
      <c r="C25" s="832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3"/>
    </row>
    <row r="26" spans="1:17" ht="12.75" customHeight="1">
      <c r="A26" s="109" t="s">
        <v>58</v>
      </c>
      <c r="B26" s="831" t="s">
        <v>622</v>
      </c>
      <c r="C26" s="832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3"/>
    </row>
    <row r="27" spans="1:17" ht="11.25">
      <c r="A27" s="109"/>
      <c r="B27" s="110" t="s">
        <v>354</v>
      </c>
      <c r="C27" s="286"/>
      <c r="D27" s="112">
        <v>700.70095</v>
      </c>
      <c r="E27" s="287">
        <v>1764000</v>
      </c>
      <c r="F27" s="113">
        <v>838611</v>
      </c>
      <c r="G27" s="113">
        <v>925389</v>
      </c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1.25">
      <c r="A28" s="109"/>
      <c r="B28" s="39" t="s">
        <v>439</v>
      </c>
      <c r="C28" s="281"/>
      <c r="D28" s="49"/>
      <c r="E28" s="104">
        <v>114000</v>
      </c>
      <c r="F28" s="104">
        <v>114000</v>
      </c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 ht="11.25">
      <c r="A29" s="109"/>
      <c r="B29" s="39" t="s">
        <v>422</v>
      </c>
      <c r="C29" s="281"/>
      <c r="D29" s="49"/>
      <c r="E29" s="104">
        <v>500000</v>
      </c>
      <c r="F29" s="104">
        <v>150000</v>
      </c>
      <c r="G29" s="104">
        <v>350000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ht="11.25">
      <c r="A30" s="109"/>
      <c r="B30" s="39" t="s">
        <v>423</v>
      </c>
      <c r="C30" s="281"/>
      <c r="D30" s="49"/>
      <c r="E30" s="104">
        <v>1150000</v>
      </c>
      <c r="F30" s="104">
        <v>574611</v>
      </c>
      <c r="G30" s="104">
        <v>575389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2.75">
      <c r="A31" s="108"/>
      <c r="B31" s="831" t="s">
        <v>441</v>
      </c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3"/>
    </row>
    <row r="32" spans="1:17" s="45" customFormat="1" ht="12.75">
      <c r="A32" s="109"/>
      <c r="B32" s="831" t="s">
        <v>442</v>
      </c>
      <c r="C32" s="832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3"/>
    </row>
    <row r="33" spans="1:17" ht="12.75">
      <c r="A33" s="109"/>
      <c r="B33" s="831" t="s">
        <v>443</v>
      </c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3"/>
    </row>
    <row r="34" spans="1:17" ht="12.75">
      <c r="A34" s="109"/>
      <c r="B34" s="831" t="s">
        <v>623</v>
      </c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3"/>
    </row>
    <row r="35" spans="1:17" ht="11.25">
      <c r="A35" s="109" t="s">
        <v>59</v>
      </c>
      <c r="B35" s="110" t="s">
        <v>354</v>
      </c>
      <c r="C35" s="288"/>
      <c r="D35" s="102">
        <v>700.70095</v>
      </c>
      <c r="E35" s="289">
        <v>700000</v>
      </c>
      <c r="F35" s="103">
        <v>220679</v>
      </c>
      <c r="G35" s="103">
        <v>479321</v>
      </c>
      <c r="H35" s="289"/>
      <c r="I35" s="289"/>
      <c r="J35" s="289"/>
      <c r="K35" s="289"/>
      <c r="L35" s="289"/>
      <c r="M35" s="289"/>
      <c r="N35" s="289"/>
      <c r="O35" s="289"/>
      <c r="P35" s="289"/>
      <c r="Q35" s="289"/>
    </row>
    <row r="36" spans="1:17" ht="11.25">
      <c r="A36" s="109"/>
      <c r="B36" s="39" t="s">
        <v>439</v>
      </c>
      <c r="C36" s="281"/>
      <c r="D36" s="49"/>
      <c r="E36" s="104">
        <v>48000</v>
      </c>
      <c r="F36" s="103">
        <v>48000</v>
      </c>
      <c r="G36" s="103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11.25">
      <c r="A37" s="109"/>
      <c r="B37" s="39" t="s">
        <v>422</v>
      </c>
      <c r="C37" s="281"/>
      <c r="D37" s="49"/>
      <c r="E37" s="104">
        <v>652000</v>
      </c>
      <c r="F37" s="103">
        <v>172679</v>
      </c>
      <c r="G37" s="103">
        <v>479321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2.75">
      <c r="A38" s="108"/>
      <c r="B38" s="831" t="s">
        <v>441</v>
      </c>
      <c r="C38" s="832"/>
      <c r="D38" s="832"/>
      <c r="E38" s="832"/>
      <c r="F38" s="832"/>
      <c r="G38" s="832"/>
      <c r="H38" s="832"/>
      <c r="I38" s="832"/>
      <c r="J38" s="832"/>
      <c r="K38" s="832"/>
      <c r="L38" s="832"/>
      <c r="M38" s="832"/>
      <c r="N38" s="832"/>
      <c r="O38" s="832"/>
      <c r="P38" s="832"/>
      <c r="Q38" s="833"/>
    </row>
    <row r="39" spans="1:17" ht="12.75">
      <c r="A39" s="109"/>
      <c r="B39" s="831" t="s">
        <v>442</v>
      </c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3"/>
    </row>
    <row r="40" spans="1:17" ht="12.75">
      <c r="A40" s="109"/>
      <c r="B40" s="831" t="s">
        <v>443</v>
      </c>
      <c r="C40" s="832"/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2"/>
      <c r="O40" s="832"/>
      <c r="P40" s="832"/>
      <c r="Q40" s="833"/>
    </row>
    <row r="41" spans="1:17" s="45" customFormat="1" ht="12.75">
      <c r="A41" s="109" t="s">
        <v>444</v>
      </c>
      <c r="B41" s="831" t="s">
        <v>624</v>
      </c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2"/>
      <c r="Q41" s="833"/>
    </row>
    <row r="42" spans="1:17" ht="11.25">
      <c r="A42" s="109"/>
      <c r="B42" s="110" t="s">
        <v>354</v>
      </c>
      <c r="C42" s="286"/>
      <c r="D42" s="111">
        <v>700.70095</v>
      </c>
      <c r="E42" s="287">
        <v>281000</v>
      </c>
      <c r="F42" s="113">
        <v>86008</v>
      </c>
      <c r="G42" s="113">
        <v>194992</v>
      </c>
      <c r="H42" s="287"/>
      <c r="I42" s="287"/>
      <c r="J42" s="287"/>
      <c r="K42" s="287"/>
      <c r="L42" s="287"/>
      <c r="M42" s="287"/>
      <c r="N42" s="287"/>
      <c r="O42" s="287"/>
      <c r="P42" s="287"/>
      <c r="Q42" s="287"/>
    </row>
    <row r="43" spans="1:17" ht="11.25">
      <c r="A43" s="109"/>
      <c r="B43" s="39" t="s">
        <v>439</v>
      </c>
      <c r="C43" s="281"/>
      <c r="D43" s="49"/>
      <c r="E43" s="104">
        <v>17000</v>
      </c>
      <c r="F43" s="104">
        <v>17000</v>
      </c>
      <c r="G43" s="104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7" ht="11.25">
      <c r="A44" s="109"/>
      <c r="B44" s="39" t="s">
        <v>422</v>
      </c>
      <c r="C44" s="281"/>
      <c r="D44" s="49"/>
      <c r="E44" s="104">
        <v>264000</v>
      </c>
      <c r="F44" s="104">
        <v>69008</v>
      </c>
      <c r="G44" s="104">
        <v>194992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</row>
    <row r="45" spans="1:17" ht="12.75">
      <c r="A45" s="834" t="s">
        <v>445</v>
      </c>
      <c r="B45" s="831" t="s">
        <v>441</v>
      </c>
      <c r="C45" s="832"/>
      <c r="D45" s="832"/>
      <c r="E45" s="832"/>
      <c r="F45" s="832"/>
      <c r="G45" s="832"/>
      <c r="H45" s="832"/>
      <c r="I45" s="832"/>
      <c r="J45" s="832"/>
      <c r="K45" s="832"/>
      <c r="L45" s="832"/>
      <c r="M45" s="832"/>
      <c r="N45" s="832"/>
      <c r="O45" s="832"/>
      <c r="P45" s="832"/>
      <c r="Q45" s="833"/>
    </row>
    <row r="46" spans="1:17" ht="12.75">
      <c r="A46" s="834"/>
      <c r="B46" s="831" t="s">
        <v>442</v>
      </c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3"/>
    </row>
    <row r="47" spans="1:17" ht="12.75">
      <c r="A47" s="834"/>
      <c r="B47" s="831" t="s">
        <v>443</v>
      </c>
      <c r="C47" s="832"/>
      <c r="D47" s="832"/>
      <c r="E47" s="832"/>
      <c r="F47" s="832"/>
      <c r="G47" s="832"/>
      <c r="H47" s="832"/>
      <c r="I47" s="832"/>
      <c r="J47" s="832"/>
      <c r="K47" s="832"/>
      <c r="L47" s="832"/>
      <c r="M47" s="832"/>
      <c r="N47" s="832"/>
      <c r="O47" s="832"/>
      <c r="P47" s="832"/>
      <c r="Q47" s="833"/>
    </row>
    <row r="48" spans="1:17" ht="12.75">
      <c r="A48" s="834"/>
      <c r="B48" s="831" t="s">
        <v>625</v>
      </c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Q48" s="833"/>
    </row>
    <row r="49" spans="1:17" ht="11.25">
      <c r="A49" s="834"/>
      <c r="B49" s="114" t="s">
        <v>57</v>
      </c>
      <c r="C49" s="290"/>
      <c r="D49" s="111">
        <v>700.70095</v>
      </c>
      <c r="E49" s="113">
        <v>536000</v>
      </c>
      <c r="F49" s="113">
        <v>160800</v>
      </c>
      <c r="G49" s="113">
        <v>375200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1:17" ht="11.25">
      <c r="A50" s="834"/>
      <c r="B50" s="39" t="s">
        <v>439</v>
      </c>
      <c r="C50" s="281"/>
      <c r="D50" s="49"/>
      <c r="E50" s="104">
        <v>36000</v>
      </c>
      <c r="F50" s="104">
        <v>36000</v>
      </c>
      <c r="G50" s="104"/>
      <c r="H50" s="105"/>
      <c r="I50" s="105"/>
      <c r="J50" s="105"/>
      <c r="K50" s="105"/>
      <c r="L50" s="105"/>
      <c r="M50" s="105"/>
      <c r="N50" s="105"/>
      <c r="O50" s="105"/>
      <c r="P50" s="105"/>
      <c r="Q50" s="105"/>
    </row>
    <row r="51" spans="1:17" ht="11.25">
      <c r="A51" s="834"/>
      <c r="B51" s="39" t="s">
        <v>422</v>
      </c>
      <c r="C51" s="281"/>
      <c r="D51" s="49"/>
      <c r="E51" s="291"/>
      <c r="F51" s="115"/>
      <c r="G51" s="39"/>
      <c r="H51" s="105"/>
      <c r="I51" s="105"/>
      <c r="J51" s="105"/>
      <c r="K51" s="105"/>
      <c r="L51" s="105"/>
      <c r="M51" s="105"/>
      <c r="N51" s="105"/>
      <c r="O51" s="105"/>
      <c r="P51" s="105"/>
      <c r="Q51" s="105"/>
    </row>
    <row r="52" spans="1:17" ht="11.25">
      <c r="A52" s="834"/>
      <c r="B52" s="39" t="s">
        <v>423</v>
      </c>
      <c r="C52" s="281"/>
      <c r="D52" s="49"/>
      <c r="E52" s="104">
        <v>500000</v>
      </c>
      <c r="F52" s="104">
        <v>124800</v>
      </c>
      <c r="G52" s="104">
        <v>375200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17" ht="11.25">
      <c r="A53" s="834"/>
      <c r="B53" s="40" t="s">
        <v>440</v>
      </c>
      <c r="C53" s="283"/>
      <c r="D53" s="107"/>
      <c r="E53" s="284"/>
      <c r="F53" s="284"/>
      <c r="G53" s="284"/>
      <c r="H53" s="285"/>
      <c r="I53" s="285"/>
      <c r="J53" s="285"/>
      <c r="K53" s="285"/>
      <c r="L53" s="285"/>
      <c r="M53" s="285"/>
      <c r="N53" s="285"/>
      <c r="O53" s="285"/>
      <c r="P53" s="285"/>
      <c r="Q53" s="285"/>
    </row>
    <row r="54" spans="1:17" ht="12.75">
      <c r="A54" s="842" t="s">
        <v>446</v>
      </c>
      <c r="B54" s="831" t="s">
        <v>441</v>
      </c>
      <c r="C54" s="832"/>
      <c r="D54" s="832"/>
      <c r="E54" s="832"/>
      <c r="F54" s="832"/>
      <c r="G54" s="832"/>
      <c r="H54" s="832"/>
      <c r="I54" s="832"/>
      <c r="J54" s="832"/>
      <c r="K54" s="832"/>
      <c r="L54" s="832"/>
      <c r="M54" s="832"/>
      <c r="N54" s="832"/>
      <c r="O54" s="832"/>
      <c r="P54" s="832"/>
      <c r="Q54" s="833"/>
    </row>
    <row r="55" spans="1:17" ht="12.75">
      <c r="A55" s="842"/>
      <c r="B55" s="831" t="s">
        <v>442</v>
      </c>
      <c r="C55" s="832"/>
      <c r="D55" s="832"/>
      <c r="E55" s="832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3"/>
    </row>
    <row r="56" spans="1:17" ht="12.75">
      <c r="A56" s="842"/>
      <c r="B56" s="831" t="s">
        <v>443</v>
      </c>
      <c r="C56" s="832"/>
      <c r="D56" s="832"/>
      <c r="E56" s="832"/>
      <c r="F56" s="832"/>
      <c r="G56" s="832"/>
      <c r="H56" s="832"/>
      <c r="I56" s="832"/>
      <c r="J56" s="832"/>
      <c r="K56" s="832"/>
      <c r="L56" s="832"/>
      <c r="M56" s="832"/>
      <c r="N56" s="832"/>
      <c r="O56" s="832"/>
      <c r="P56" s="832"/>
      <c r="Q56" s="833"/>
    </row>
    <row r="57" spans="1:17" ht="12.75">
      <c r="A57" s="842"/>
      <c r="B57" s="831" t="s">
        <v>626</v>
      </c>
      <c r="C57" s="832"/>
      <c r="D57" s="832"/>
      <c r="E57" s="832"/>
      <c r="F57" s="832"/>
      <c r="G57" s="832"/>
      <c r="H57" s="832"/>
      <c r="I57" s="832"/>
      <c r="J57" s="832"/>
      <c r="K57" s="832"/>
      <c r="L57" s="832"/>
      <c r="M57" s="832"/>
      <c r="N57" s="832"/>
      <c r="O57" s="832"/>
      <c r="P57" s="832"/>
      <c r="Q57" s="833"/>
    </row>
    <row r="58" spans="1:17" ht="11.25">
      <c r="A58" s="842"/>
      <c r="B58" s="112" t="s">
        <v>57</v>
      </c>
      <c r="C58" s="290"/>
      <c r="D58" s="111">
        <v>700.70095</v>
      </c>
      <c r="E58" s="113">
        <v>3185000</v>
      </c>
      <c r="F58" s="113">
        <v>2253567</v>
      </c>
      <c r="G58" s="113">
        <v>931433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1.25">
      <c r="A59" s="842"/>
      <c r="B59" s="39" t="s">
        <v>439</v>
      </c>
      <c r="C59" s="292"/>
      <c r="D59" s="39"/>
      <c r="E59" s="104">
        <v>160000</v>
      </c>
      <c r="F59" s="104">
        <v>160000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ht="11.25">
      <c r="A60" s="842"/>
      <c r="B60" s="39" t="s">
        <v>422</v>
      </c>
      <c r="C60" s="292"/>
      <c r="D60" s="39"/>
      <c r="E60" s="104">
        <v>100000</v>
      </c>
      <c r="F60" s="104">
        <v>70000</v>
      </c>
      <c r="G60" s="104">
        <v>30000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11.25">
      <c r="A61" s="842"/>
      <c r="B61" s="39" t="s">
        <v>423</v>
      </c>
      <c r="C61" s="292"/>
      <c r="D61" s="39"/>
      <c r="E61" s="104">
        <v>2925000</v>
      </c>
      <c r="F61" s="104">
        <v>2023567</v>
      </c>
      <c r="G61" s="104">
        <v>901433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ht="11.25">
      <c r="A62" s="842"/>
      <c r="B62" s="40" t="s">
        <v>440</v>
      </c>
      <c r="C62" s="293"/>
      <c r="D62" s="40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</row>
    <row r="63" spans="1:17" ht="12.75">
      <c r="A63" s="842" t="s">
        <v>447</v>
      </c>
      <c r="B63" s="831" t="s">
        <v>441</v>
      </c>
      <c r="C63" s="832"/>
      <c r="D63" s="832"/>
      <c r="E63" s="832"/>
      <c r="F63" s="832"/>
      <c r="G63" s="832"/>
      <c r="H63" s="832"/>
      <c r="I63" s="832"/>
      <c r="J63" s="832"/>
      <c r="K63" s="832"/>
      <c r="L63" s="832"/>
      <c r="M63" s="832"/>
      <c r="N63" s="832"/>
      <c r="O63" s="832"/>
      <c r="P63" s="832"/>
      <c r="Q63" s="833"/>
    </row>
    <row r="64" spans="1:17" ht="12.75">
      <c r="A64" s="842"/>
      <c r="B64" s="831" t="s">
        <v>442</v>
      </c>
      <c r="C64" s="832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3"/>
    </row>
    <row r="65" spans="1:17" ht="12.75">
      <c r="A65" s="842"/>
      <c r="B65" s="831" t="s">
        <v>443</v>
      </c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3"/>
    </row>
    <row r="66" spans="1:17" ht="12.75">
      <c r="A66" s="842"/>
      <c r="B66" s="831" t="s">
        <v>627</v>
      </c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3"/>
    </row>
    <row r="67" spans="1:17" ht="11.25">
      <c r="A67" s="842"/>
      <c r="B67" s="112" t="s">
        <v>57</v>
      </c>
      <c r="C67" s="112"/>
      <c r="D67" s="111">
        <v>700.70095</v>
      </c>
      <c r="E67" s="113">
        <v>1943000</v>
      </c>
      <c r="F67" s="113">
        <f>E67-G67</f>
        <v>1256326</v>
      </c>
      <c r="G67" s="113">
        <v>686674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1:17" ht="11.25">
      <c r="A68" s="842"/>
      <c r="B68" s="39" t="s">
        <v>439</v>
      </c>
      <c r="C68" s="39"/>
      <c r="D68" s="39"/>
      <c r="E68" s="104">
        <v>133000</v>
      </c>
      <c r="F68" s="104">
        <v>133000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ht="11.25">
      <c r="A69" s="842"/>
      <c r="B69" s="39" t="s">
        <v>422</v>
      </c>
      <c r="C69" s="39"/>
      <c r="D69" s="39"/>
      <c r="E69" s="104">
        <v>100000</v>
      </c>
      <c r="F69" s="104">
        <v>65000</v>
      </c>
      <c r="G69" s="297">
        <v>35000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ht="11.25">
      <c r="A70" s="842"/>
      <c r="B70" s="39" t="s">
        <v>423</v>
      </c>
      <c r="C70" s="39"/>
      <c r="D70" s="39"/>
      <c r="E70" s="104">
        <v>1710000</v>
      </c>
      <c r="F70" s="104">
        <f>E70-G70</f>
        <v>1058326</v>
      </c>
      <c r="G70" s="104">
        <v>651674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ht="11.25">
      <c r="A71" s="842"/>
      <c r="B71" s="40" t="s">
        <v>440</v>
      </c>
      <c r="C71" s="40"/>
      <c r="D71" s="40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</row>
    <row r="72" spans="1:17" ht="12.75">
      <c r="A72" s="294"/>
      <c r="B72" s="831" t="s">
        <v>441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3"/>
    </row>
    <row r="73" spans="1:17" ht="12.75">
      <c r="A73" s="295"/>
      <c r="B73" s="831" t="s">
        <v>442</v>
      </c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3"/>
    </row>
    <row r="74" spans="1:17" ht="12.75">
      <c r="A74" s="295"/>
      <c r="B74" s="831" t="s">
        <v>443</v>
      </c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3"/>
    </row>
    <row r="75" spans="1:17" ht="12.75">
      <c r="A75" s="295" t="s">
        <v>448</v>
      </c>
      <c r="B75" s="831" t="s">
        <v>628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3"/>
    </row>
    <row r="76" spans="1:17" ht="11.25">
      <c r="A76" s="295"/>
      <c r="B76" s="112" t="s">
        <v>57</v>
      </c>
      <c r="C76" s="112"/>
      <c r="D76" s="112">
        <v>900.90015</v>
      </c>
      <c r="E76" s="113">
        <v>438000</v>
      </c>
      <c r="F76" s="113">
        <v>138000</v>
      </c>
      <c r="G76" s="113">
        <v>300000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</row>
    <row r="77" spans="1:17" ht="11.25">
      <c r="A77" s="295"/>
      <c r="B77" s="39" t="s">
        <v>439</v>
      </c>
      <c r="C77" s="39"/>
      <c r="D77" s="39"/>
      <c r="E77" s="104">
        <v>38000</v>
      </c>
      <c r="F77" s="104">
        <v>38000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ht="11.25">
      <c r="A78" s="295"/>
      <c r="B78" s="39" t="s">
        <v>422</v>
      </c>
      <c r="C78" s="39"/>
      <c r="D78" s="39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ht="11.25">
      <c r="A79" s="295"/>
      <c r="B79" s="39" t="s">
        <v>423</v>
      </c>
      <c r="C79" s="39"/>
      <c r="D79" s="39"/>
      <c r="E79" s="104">
        <v>400000</v>
      </c>
      <c r="F79" s="104">
        <v>100000</v>
      </c>
      <c r="G79" s="104">
        <v>300000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ht="11.25">
      <c r="A80" s="296"/>
      <c r="B80" s="40" t="s">
        <v>440</v>
      </c>
      <c r="C80" s="40"/>
      <c r="D80" s="40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</row>
    <row r="81" spans="1:17" ht="12.75">
      <c r="A81" s="844" t="s">
        <v>449</v>
      </c>
      <c r="B81" s="831" t="s">
        <v>441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3"/>
    </row>
    <row r="82" spans="1:17" ht="12.75">
      <c r="A82" s="845"/>
      <c r="B82" s="831" t="s">
        <v>442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3"/>
    </row>
    <row r="83" spans="1:17" ht="12.75">
      <c r="A83" s="845"/>
      <c r="B83" s="831" t="s">
        <v>443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3"/>
    </row>
    <row r="84" spans="1:17" ht="12.75">
      <c r="A84" s="845"/>
      <c r="B84" s="831" t="s">
        <v>629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3"/>
    </row>
    <row r="85" spans="1:17" ht="11.25">
      <c r="A85" s="845"/>
      <c r="B85" s="112" t="s">
        <v>57</v>
      </c>
      <c r="C85" s="112"/>
      <c r="D85" s="112" t="s">
        <v>630</v>
      </c>
      <c r="E85" s="113">
        <v>25200000</v>
      </c>
      <c r="F85" s="113">
        <v>20024218</v>
      </c>
      <c r="G85" s="113">
        <v>5175782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</row>
    <row r="86" spans="1:17" ht="11.25">
      <c r="A86" s="845"/>
      <c r="B86" s="39" t="s">
        <v>439</v>
      </c>
      <c r="C86" s="39"/>
      <c r="D86" s="39"/>
      <c r="E86" s="104">
        <v>200000</v>
      </c>
      <c r="F86" s="104">
        <v>200000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ht="11.25">
      <c r="A87" s="845"/>
      <c r="B87" s="39" t="s">
        <v>422</v>
      </c>
      <c r="C87" s="39"/>
      <c r="D87" s="39"/>
      <c r="E87" s="104">
        <v>1940000</v>
      </c>
      <c r="F87" s="104">
        <v>1360000</v>
      </c>
      <c r="G87" s="297">
        <v>580000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ht="11.25">
      <c r="A88" s="845"/>
      <c r="B88" s="39" t="s">
        <v>423</v>
      </c>
      <c r="C88" s="39"/>
      <c r="D88" s="39"/>
      <c r="E88" s="104">
        <v>10000000</v>
      </c>
      <c r="F88" s="104">
        <v>8000000</v>
      </c>
      <c r="G88" s="104">
        <v>2000000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ht="11.25">
      <c r="A89" s="846"/>
      <c r="B89" s="40" t="s">
        <v>440</v>
      </c>
      <c r="C89" s="40"/>
      <c r="D89" s="40"/>
      <c r="E89" s="284">
        <v>13060000</v>
      </c>
      <c r="F89" s="284">
        <v>10464218</v>
      </c>
      <c r="G89" s="284">
        <v>2595782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</row>
    <row r="90" spans="1:17" ht="12.75" customHeight="1">
      <c r="A90" s="837" t="s">
        <v>62</v>
      </c>
      <c r="B90" s="838"/>
      <c r="C90" s="837"/>
      <c r="D90" s="838"/>
      <c r="E90" s="101">
        <f>SUM(E19,E27,E35,E42,E49,E58,E67,E76,E85)</f>
        <v>35592000</v>
      </c>
      <c r="F90" s="101">
        <f aca="true" t="shared" si="2" ref="F90:Q90">SUM(F19,F27,F35,F42,F49,F58,F67,F76,F85)</f>
        <v>25443209</v>
      </c>
      <c r="G90" s="101">
        <f t="shared" si="2"/>
        <v>10118791</v>
      </c>
      <c r="H90" s="101">
        <f t="shared" si="2"/>
        <v>0</v>
      </c>
      <c r="I90" s="101">
        <f t="shared" si="2"/>
        <v>0</v>
      </c>
      <c r="J90" s="101">
        <f t="shared" si="2"/>
        <v>0</v>
      </c>
      <c r="K90" s="101">
        <f t="shared" si="2"/>
        <v>0</v>
      </c>
      <c r="L90" s="101">
        <f t="shared" si="2"/>
        <v>0</v>
      </c>
      <c r="M90" s="101">
        <f t="shared" si="2"/>
        <v>0</v>
      </c>
      <c r="N90" s="101">
        <f t="shared" si="2"/>
        <v>0</v>
      </c>
      <c r="O90" s="101">
        <f t="shared" si="2"/>
        <v>0</v>
      </c>
      <c r="P90" s="101">
        <f t="shared" si="2"/>
        <v>0</v>
      </c>
      <c r="Q90" s="101">
        <f t="shared" si="2"/>
        <v>0</v>
      </c>
    </row>
    <row r="92" spans="1:10" ht="12.75" customHeight="1">
      <c r="A92" s="843" t="s">
        <v>63</v>
      </c>
      <c r="B92" s="843"/>
      <c r="C92" s="843"/>
      <c r="D92" s="843"/>
      <c r="E92" s="843"/>
      <c r="F92" s="843"/>
      <c r="G92" s="843"/>
      <c r="H92" s="843"/>
      <c r="I92" s="843"/>
      <c r="J92" s="843"/>
    </row>
    <row r="93" spans="1:10" ht="11.25">
      <c r="A93" s="48" t="s">
        <v>78</v>
      </c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11.25">
      <c r="A94" s="48" t="s">
        <v>463</v>
      </c>
      <c r="B94" s="48"/>
      <c r="C94" s="48"/>
      <c r="D94" s="48"/>
      <c r="E94" s="48"/>
      <c r="F94" s="298"/>
      <c r="G94" s="48"/>
      <c r="H94" s="48"/>
      <c r="I94" s="48"/>
      <c r="J94" s="48"/>
    </row>
  </sheetData>
  <mergeCells count="64">
    <mergeCell ref="A90:B90"/>
    <mergeCell ref="C90:D90"/>
    <mergeCell ref="A92:J92"/>
    <mergeCell ref="A81:A89"/>
    <mergeCell ref="B81:Q81"/>
    <mergeCell ref="B82:Q82"/>
    <mergeCell ref="B83:Q83"/>
    <mergeCell ref="B84:Q84"/>
    <mergeCell ref="B72:Q72"/>
    <mergeCell ref="B73:Q73"/>
    <mergeCell ref="B74:Q74"/>
    <mergeCell ref="B75:Q75"/>
    <mergeCell ref="B54:Q54"/>
    <mergeCell ref="B55:Q55"/>
    <mergeCell ref="A63:A71"/>
    <mergeCell ref="B63:Q63"/>
    <mergeCell ref="B64:Q64"/>
    <mergeCell ref="B65:Q65"/>
    <mergeCell ref="B66:Q66"/>
    <mergeCell ref="B56:Q56"/>
    <mergeCell ref="B57:Q57"/>
    <mergeCell ref="A54:A62"/>
    <mergeCell ref="B23:Q23"/>
    <mergeCell ref="A15:A22"/>
    <mergeCell ref="B15:Q15"/>
    <mergeCell ref="B16:Q16"/>
    <mergeCell ref="B17:Q17"/>
    <mergeCell ref="B18:Q18"/>
    <mergeCell ref="I11:I12"/>
    <mergeCell ref="J11:L11"/>
    <mergeCell ref="A7:A12"/>
    <mergeCell ref="B7:B12"/>
    <mergeCell ref="C7:C12"/>
    <mergeCell ref="D7:D12"/>
    <mergeCell ref="E7:E12"/>
    <mergeCell ref="F8:F12"/>
    <mergeCell ref="G8:G12"/>
    <mergeCell ref="F7:G7"/>
    <mergeCell ref="A5:Q5"/>
    <mergeCell ref="N11:Q11"/>
    <mergeCell ref="C14:D14"/>
    <mergeCell ref="M11:M12"/>
    <mergeCell ref="H7:Q7"/>
    <mergeCell ref="H8:Q8"/>
    <mergeCell ref="I9:Q9"/>
    <mergeCell ref="M10:Q10"/>
    <mergeCell ref="H9:H12"/>
    <mergeCell ref="I10:L10"/>
    <mergeCell ref="B24:Q24"/>
    <mergeCell ref="B25:Q25"/>
    <mergeCell ref="B26:Q26"/>
    <mergeCell ref="B31:Q31"/>
    <mergeCell ref="B32:Q32"/>
    <mergeCell ref="B33:Q33"/>
    <mergeCell ref="B34:Q34"/>
    <mergeCell ref="B38:Q38"/>
    <mergeCell ref="B39:Q39"/>
    <mergeCell ref="B40:Q40"/>
    <mergeCell ref="B41:Q41"/>
    <mergeCell ref="B46:Q46"/>
    <mergeCell ref="B47:Q47"/>
    <mergeCell ref="B48:Q48"/>
    <mergeCell ref="A45:A53"/>
    <mergeCell ref="B45:Q45"/>
  </mergeCells>
  <printOptions/>
  <pageMargins left="0.3937007874015748" right="0.3937007874015748" top="0.31" bottom="0.37" header="0.1968503937007874" footer="0.17"/>
  <pageSetup fitToHeight="4" horizontalDpi="300" verticalDpi="300" orientation="landscape" paperSize="9" scale="81" r:id="rId1"/>
  <headerFooter alignWithMargins="0">
    <oddFooter>&amp;C&amp;P / &amp;N</oddFooter>
  </headerFooter>
  <rowBreaks count="1" manualBreakCount="1">
    <brk id="53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F2" sqref="F2:F4"/>
    </sheetView>
  </sheetViews>
  <sheetFormatPr defaultColWidth="9.00390625" defaultRowHeight="12.75"/>
  <cols>
    <col min="1" max="1" width="30.75390625" style="83" customWidth="1"/>
    <col min="2" max="2" width="9.125" style="83" customWidth="1"/>
    <col min="3" max="3" width="11.375" style="83" customWidth="1"/>
    <col min="4" max="4" width="11.125" style="83" customWidth="1"/>
    <col min="5" max="5" width="30.75390625" style="83" customWidth="1"/>
    <col min="6" max="6" width="9.125" style="83" customWidth="1"/>
    <col min="7" max="7" width="11.375" style="83" customWidth="1"/>
    <col min="8" max="8" width="11.125" style="83" customWidth="1"/>
    <col min="9" max="16384" width="9.125" style="83" customWidth="1"/>
  </cols>
  <sheetData>
    <row r="1" ht="15">
      <c r="F1" t="s">
        <v>611</v>
      </c>
    </row>
    <row r="2" ht="15">
      <c r="F2" t="s">
        <v>654</v>
      </c>
    </row>
    <row r="3" ht="15">
      <c r="F3" t="s">
        <v>130</v>
      </c>
    </row>
    <row r="4" ht="15">
      <c r="F4" t="s">
        <v>655</v>
      </c>
    </row>
    <row r="5" ht="15">
      <c r="F5"/>
    </row>
    <row r="6" ht="15">
      <c r="F6"/>
    </row>
    <row r="7" spans="1:8" ht="30" customHeight="1">
      <c r="A7" s="852" t="s">
        <v>612</v>
      </c>
      <c r="B7" s="852"/>
      <c r="C7" s="852"/>
      <c r="D7" s="852"/>
      <c r="E7" s="852"/>
      <c r="F7" s="852"/>
      <c r="G7" s="852"/>
      <c r="H7" s="852"/>
    </row>
    <row r="8" spans="2:8" ht="16.5" thickBot="1">
      <c r="B8" s="643"/>
      <c r="C8" s="643"/>
      <c r="D8" s="643"/>
      <c r="E8" s="643"/>
      <c r="F8" s="643"/>
      <c r="G8" s="643"/>
      <c r="H8" s="643"/>
    </row>
    <row r="9" spans="1:8" ht="15.75">
      <c r="A9" s="652"/>
      <c r="B9" s="653" t="s">
        <v>592</v>
      </c>
      <c r="C9" s="653"/>
      <c r="D9" s="654"/>
      <c r="E9" s="849" t="s">
        <v>10</v>
      </c>
      <c r="F9" s="850"/>
      <c r="G9" s="850"/>
      <c r="H9" s="851"/>
    </row>
    <row r="10" spans="1:8" ht="16.5" thickBot="1">
      <c r="A10" s="655" t="s">
        <v>2</v>
      </c>
      <c r="B10" s="656" t="s">
        <v>4</v>
      </c>
      <c r="C10" s="657" t="s">
        <v>5</v>
      </c>
      <c r="D10" s="663" t="s">
        <v>599</v>
      </c>
      <c r="E10" s="655" t="s">
        <v>2</v>
      </c>
      <c r="F10" s="658" t="s">
        <v>4</v>
      </c>
      <c r="G10" s="656" t="s">
        <v>5</v>
      </c>
      <c r="H10" s="659" t="s">
        <v>599</v>
      </c>
    </row>
    <row r="11" spans="1:8" ht="30">
      <c r="A11" s="660" t="s">
        <v>601</v>
      </c>
      <c r="B11" s="650">
        <v>756</v>
      </c>
      <c r="C11" s="651">
        <v>75618</v>
      </c>
      <c r="D11" s="664">
        <v>290000</v>
      </c>
      <c r="E11" s="649" t="s">
        <v>602</v>
      </c>
      <c r="F11" s="648">
        <v>851</v>
      </c>
      <c r="G11" s="647">
        <v>85153</v>
      </c>
      <c r="H11" s="662">
        <v>43500</v>
      </c>
    </row>
    <row r="12" spans="1:8" ht="43.5" thickBot="1">
      <c r="A12" s="660"/>
      <c r="B12" s="665"/>
      <c r="C12" s="666"/>
      <c r="D12" s="667"/>
      <c r="E12" s="661" t="s">
        <v>610</v>
      </c>
      <c r="F12" s="668">
        <v>851</v>
      </c>
      <c r="G12" s="665">
        <v>85154</v>
      </c>
      <c r="H12" s="669">
        <v>266500</v>
      </c>
    </row>
    <row r="13" spans="1:8" ht="16.5" thickBot="1">
      <c r="A13" s="847" t="s">
        <v>83</v>
      </c>
      <c r="B13" s="848"/>
      <c r="C13" s="848"/>
      <c r="D13" s="670">
        <f>SUM(D11:D12)</f>
        <v>290000</v>
      </c>
      <c r="E13" s="847" t="s">
        <v>83</v>
      </c>
      <c r="F13" s="848"/>
      <c r="G13" s="848"/>
      <c r="H13" s="490">
        <f>SUM(H11:H12)</f>
        <v>310000</v>
      </c>
    </row>
  </sheetData>
  <mergeCells count="4">
    <mergeCell ref="A13:C13"/>
    <mergeCell ref="E13:G13"/>
    <mergeCell ref="E9:H9"/>
    <mergeCell ref="A7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showGridLines="0" view="pageBreakPreview" zoomScaleSheetLayoutView="100" workbookViewId="0" topLeftCell="A1">
      <selection activeCell="I2" sqref="I2:I4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2.125" style="0" customWidth="1"/>
    <col min="4" max="4" width="10.875" style="0" customWidth="1"/>
    <col min="5" max="5" width="11.125" style="0" customWidth="1"/>
    <col min="6" max="6" width="14.75390625" style="0" customWidth="1"/>
    <col min="7" max="7" width="15.00390625" style="0" customWidth="1"/>
    <col min="8" max="8" width="14.00390625" style="0" customWidth="1"/>
    <col min="9" max="9" width="14.875" style="0" customWidth="1"/>
    <col min="10" max="10" width="13.25390625" style="0" customWidth="1"/>
    <col min="11" max="11" width="12.875" style="0" customWidth="1"/>
  </cols>
  <sheetData>
    <row r="1" ht="12.75">
      <c r="I1" t="s">
        <v>609</v>
      </c>
    </row>
    <row r="2" ht="12.75">
      <c r="I2" t="s">
        <v>654</v>
      </c>
    </row>
    <row r="3" ht="12.75">
      <c r="I3" t="s">
        <v>130</v>
      </c>
    </row>
    <row r="4" ht="12.75">
      <c r="I4" t="s">
        <v>655</v>
      </c>
    </row>
    <row r="6" spans="2:11" ht="16.5">
      <c r="B6" s="615" t="s">
        <v>597</v>
      </c>
      <c r="C6" s="615"/>
      <c r="D6" s="615"/>
      <c r="E6" s="615"/>
      <c r="F6" s="615"/>
      <c r="G6" s="615"/>
      <c r="H6" s="615"/>
      <c r="I6" s="615"/>
      <c r="J6" s="615"/>
      <c r="K6" s="615"/>
    </row>
    <row r="7" spans="2:11" ht="16.5">
      <c r="B7" s="615"/>
      <c r="C7" s="615"/>
      <c r="D7" s="615" t="s">
        <v>598</v>
      </c>
      <c r="E7" s="615"/>
      <c r="F7" s="615"/>
      <c r="G7" s="615"/>
      <c r="H7" s="615"/>
      <c r="I7" s="615"/>
      <c r="J7" s="615"/>
      <c r="K7" s="61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9" t="s">
        <v>29</v>
      </c>
    </row>
    <row r="9" spans="1:11" ht="15" customHeight="1">
      <c r="A9" s="830" t="s">
        <v>32</v>
      </c>
      <c r="B9" s="830" t="s">
        <v>2</v>
      </c>
      <c r="C9" s="858" t="s">
        <v>40</v>
      </c>
      <c r="D9" s="859"/>
      <c r="E9" s="859"/>
      <c r="F9" s="859"/>
      <c r="G9" s="859"/>
      <c r="H9" s="859"/>
      <c r="I9" s="860"/>
      <c r="J9" s="827" t="s">
        <v>10</v>
      </c>
      <c r="K9" s="827"/>
    </row>
    <row r="10" spans="1:11" ht="15" customHeight="1">
      <c r="A10" s="830"/>
      <c r="B10" s="830"/>
      <c r="C10" s="827" t="s">
        <v>9</v>
      </c>
      <c r="D10" s="853" t="s">
        <v>8</v>
      </c>
      <c r="E10" s="861"/>
      <c r="F10" s="861"/>
      <c r="G10" s="861"/>
      <c r="H10" s="861"/>
      <c r="I10" s="854"/>
      <c r="J10" s="827" t="s">
        <v>9</v>
      </c>
      <c r="K10" s="827" t="s">
        <v>34</v>
      </c>
    </row>
    <row r="11" spans="1:11" ht="24.75" customHeight="1">
      <c r="A11" s="830"/>
      <c r="B11" s="830"/>
      <c r="C11" s="827"/>
      <c r="D11" s="856" t="s">
        <v>585</v>
      </c>
      <c r="E11" s="853" t="s">
        <v>587</v>
      </c>
      <c r="F11" s="854"/>
      <c r="G11" s="862" t="s">
        <v>590</v>
      </c>
      <c r="H11" s="853" t="s">
        <v>588</v>
      </c>
      <c r="I11" s="854"/>
      <c r="J11" s="827"/>
      <c r="K11" s="827"/>
    </row>
    <row r="12" spans="1:11" ht="42" customHeight="1">
      <c r="A12" s="830"/>
      <c r="B12" s="830"/>
      <c r="C12" s="827"/>
      <c r="D12" s="857"/>
      <c r="E12" s="50" t="s">
        <v>391</v>
      </c>
      <c r="F12" s="50" t="s">
        <v>586</v>
      </c>
      <c r="G12" s="863"/>
      <c r="H12" s="50" t="s">
        <v>517</v>
      </c>
      <c r="I12" s="50" t="s">
        <v>589</v>
      </c>
      <c r="J12" s="827"/>
      <c r="K12" s="827"/>
    </row>
    <row r="13" spans="1:11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</row>
    <row r="14" spans="1:11" ht="19.5" customHeight="1">
      <c r="A14" s="44" t="s">
        <v>12</v>
      </c>
      <c r="B14" s="43" t="s">
        <v>13</v>
      </c>
      <c r="C14" s="232">
        <f>+C16</f>
        <v>1138500</v>
      </c>
      <c r="D14" s="232">
        <f>+D16</f>
        <v>538500</v>
      </c>
      <c r="E14" s="232">
        <f>+E16</f>
        <v>538500</v>
      </c>
      <c r="F14" s="232"/>
      <c r="G14" s="232"/>
      <c r="H14" s="232"/>
      <c r="I14" s="232"/>
      <c r="J14" s="232">
        <f>+J16</f>
        <v>1138500</v>
      </c>
      <c r="K14" s="232">
        <v>0</v>
      </c>
    </row>
    <row r="15" spans="1:11" ht="15" customHeight="1">
      <c r="A15" s="69"/>
      <c r="B15" s="70" t="s">
        <v>46</v>
      </c>
      <c r="C15" s="611"/>
      <c r="D15" s="611"/>
      <c r="E15" s="611"/>
      <c r="F15" s="611"/>
      <c r="G15" s="611"/>
      <c r="H15" s="611"/>
      <c r="I15" s="611"/>
      <c r="J15" s="611"/>
      <c r="K15" s="611"/>
    </row>
    <row r="16" spans="1:11" ht="25.5">
      <c r="A16" s="25">
        <v>1</v>
      </c>
      <c r="B16" s="26" t="s">
        <v>330</v>
      </c>
      <c r="C16" s="612">
        <f>+J16</f>
        <v>1138500</v>
      </c>
      <c r="D16" s="612">
        <f>+E16</f>
        <v>538500</v>
      </c>
      <c r="E16" s="612">
        <v>538500</v>
      </c>
      <c r="F16" s="705" t="s">
        <v>617</v>
      </c>
      <c r="G16" s="612"/>
      <c r="H16" s="612"/>
      <c r="I16" s="612"/>
      <c r="J16" s="612">
        <v>1138500</v>
      </c>
      <c r="K16" s="612">
        <v>0</v>
      </c>
    </row>
    <row r="17" spans="1:11" ht="19.5" customHeight="1">
      <c r="A17" s="44" t="s">
        <v>18</v>
      </c>
      <c r="B17" s="43" t="s">
        <v>17</v>
      </c>
      <c r="C17" s="232">
        <f>SUM(C19:C20)</f>
        <v>878000</v>
      </c>
      <c r="D17" s="232">
        <f>SUM(D19:D20)</f>
        <v>140000</v>
      </c>
      <c r="E17" s="232">
        <f>SUM(E19:E20)</f>
        <v>140000</v>
      </c>
      <c r="F17" s="232"/>
      <c r="G17" s="232"/>
      <c r="H17" s="232"/>
      <c r="I17" s="232"/>
      <c r="J17" s="232">
        <f>SUM(J19:J20)</f>
        <v>878000</v>
      </c>
      <c r="K17" s="232"/>
    </row>
    <row r="18" spans="1:11" ht="17.25" customHeight="1">
      <c r="A18" s="69"/>
      <c r="B18" s="70" t="s">
        <v>46</v>
      </c>
      <c r="C18" s="613"/>
      <c r="D18" s="613"/>
      <c r="E18" s="613"/>
      <c r="F18" s="613"/>
      <c r="G18" s="613"/>
      <c r="H18" s="613"/>
      <c r="I18" s="613"/>
      <c r="J18" s="613"/>
      <c r="K18" s="613"/>
    </row>
    <row r="19" spans="1:11" ht="32.25" customHeight="1">
      <c r="A19" s="25">
        <v>1</v>
      </c>
      <c r="B19" s="68" t="s">
        <v>331</v>
      </c>
      <c r="C19" s="612">
        <v>450000</v>
      </c>
      <c r="D19" s="612">
        <f>+E19</f>
        <v>0</v>
      </c>
      <c r="E19" s="612">
        <v>0</v>
      </c>
      <c r="F19" s="612"/>
      <c r="G19" s="612"/>
      <c r="H19" s="612"/>
      <c r="I19" s="612"/>
      <c r="J19" s="612">
        <v>450000</v>
      </c>
      <c r="K19" s="612">
        <v>0</v>
      </c>
    </row>
    <row r="20" spans="1:11" ht="25.5">
      <c r="A20" s="71">
        <v>2</v>
      </c>
      <c r="B20" s="72" t="s">
        <v>332</v>
      </c>
      <c r="C20" s="614">
        <v>428000</v>
      </c>
      <c r="D20" s="614">
        <v>140000</v>
      </c>
      <c r="E20" s="614">
        <v>140000</v>
      </c>
      <c r="F20" s="706" t="s">
        <v>616</v>
      </c>
      <c r="G20" s="614"/>
      <c r="H20" s="614"/>
      <c r="I20" s="614"/>
      <c r="J20" s="614">
        <f>+C20</f>
        <v>428000</v>
      </c>
      <c r="K20" s="614">
        <v>0</v>
      </c>
    </row>
    <row r="21" spans="1:11" s="42" customFormat="1" ht="19.5" customHeight="1">
      <c r="A21" s="855" t="s">
        <v>83</v>
      </c>
      <c r="B21" s="855"/>
      <c r="C21" s="232">
        <f>+C14+C17</f>
        <v>2016500</v>
      </c>
      <c r="D21" s="232">
        <f>+D14+D17</f>
        <v>678500</v>
      </c>
      <c r="E21" s="232">
        <v>678500</v>
      </c>
      <c r="F21" s="232"/>
      <c r="G21" s="232"/>
      <c r="H21" s="232"/>
      <c r="I21" s="232"/>
      <c r="J21" s="232">
        <f>+J14+J17</f>
        <v>2016500</v>
      </c>
      <c r="K21" s="232">
        <v>0</v>
      </c>
    </row>
    <row r="22" spans="1:5" ht="12.75" customHeight="1">
      <c r="A22" s="51"/>
      <c r="E22" s="138" t="s">
        <v>23</v>
      </c>
    </row>
    <row r="23" ht="12.75">
      <c r="A23" s="51"/>
    </row>
    <row r="24" ht="12.75">
      <c r="A24" s="51"/>
    </row>
    <row r="25" ht="12.75">
      <c r="A25" s="51"/>
    </row>
    <row r="28" ht="12.75">
      <c r="C28" s="136">
        <f>+C14+C17</f>
        <v>2016500</v>
      </c>
    </row>
  </sheetData>
  <mergeCells count="13">
    <mergeCell ref="A21:B21"/>
    <mergeCell ref="J9:K9"/>
    <mergeCell ref="A9:A12"/>
    <mergeCell ref="B9:B12"/>
    <mergeCell ref="C10:C12"/>
    <mergeCell ref="D11:D12"/>
    <mergeCell ref="C9:I9"/>
    <mergeCell ref="D10:I10"/>
    <mergeCell ref="G11:G12"/>
    <mergeCell ref="H11:I11"/>
    <mergeCell ref="E11:F11"/>
    <mergeCell ref="J10:J12"/>
    <mergeCell ref="K10:K12"/>
  </mergeCells>
  <printOptions horizontalCentered="1"/>
  <pageMargins left="0.5118110236220472" right="0.5118110236220472" top="0.42" bottom="0.42" header="0.19" footer="0.28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F2" sqref="F2:F4"/>
    </sheetView>
  </sheetViews>
  <sheetFormatPr defaultColWidth="9.00390625" defaultRowHeight="12.75"/>
  <cols>
    <col min="1" max="1" width="4.125" style="83" customWidth="1"/>
    <col min="2" max="2" width="29.375" style="83" customWidth="1"/>
    <col min="3" max="3" width="8.375" style="83" customWidth="1"/>
    <col min="4" max="7" width="10.75390625" style="83" customWidth="1"/>
    <col min="8" max="8" width="11.375" style="83" customWidth="1"/>
    <col min="9" max="16384" width="9.125" style="83" customWidth="1"/>
  </cols>
  <sheetData>
    <row r="1" ht="15">
      <c r="F1" t="s">
        <v>436</v>
      </c>
    </row>
    <row r="2" ht="15">
      <c r="F2" t="s">
        <v>654</v>
      </c>
    </row>
    <row r="3" ht="15">
      <c r="F3" t="s">
        <v>130</v>
      </c>
    </row>
    <row r="4" ht="15">
      <c r="F4" t="s">
        <v>655</v>
      </c>
    </row>
    <row r="7" spans="1:8" ht="30" customHeight="1">
      <c r="A7" s="852" t="s">
        <v>596</v>
      </c>
      <c r="B7" s="852"/>
      <c r="C7" s="852"/>
      <c r="D7" s="852"/>
      <c r="E7" s="852"/>
      <c r="F7" s="852"/>
      <c r="G7" s="852"/>
      <c r="H7" s="852"/>
    </row>
    <row r="8" ht="15.75" thickBot="1"/>
    <row r="9" spans="1:8" ht="15">
      <c r="A9" s="868" t="s">
        <v>32</v>
      </c>
      <c r="B9" s="870" t="s">
        <v>591</v>
      </c>
      <c r="C9" s="872" t="s">
        <v>4</v>
      </c>
      <c r="D9" s="874" t="s">
        <v>5</v>
      </c>
      <c r="E9" s="876" t="s">
        <v>592</v>
      </c>
      <c r="F9" s="866" t="s">
        <v>593</v>
      </c>
      <c r="G9" s="878" t="s">
        <v>8</v>
      </c>
      <c r="H9" s="879"/>
    </row>
    <row r="10" spans="1:8" ht="15">
      <c r="A10" s="869"/>
      <c r="B10" s="871"/>
      <c r="C10" s="873"/>
      <c r="D10" s="875"/>
      <c r="E10" s="877"/>
      <c r="F10" s="867"/>
      <c r="G10" s="622" t="s">
        <v>594</v>
      </c>
      <c r="H10" s="623" t="s">
        <v>595</v>
      </c>
    </row>
    <row r="11" spans="1:8" s="616" customFormat="1" ht="14.25">
      <c r="A11" s="624">
        <v>1</v>
      </c>
      <c r="B11" s="625">
        <v>2</v>
      </c>
      <c r="C11" s="626">
        <v>3</v>
      </c>
      <c r="D11" s="626">
        <v>4</v>
      </c>
      <c r="E11" s="627">
        <v>5</v>
      </c>
      <c r="F11" s="627">
        <v>6</v>
      </c>
      <c r="G11" s="626">
        <v>7</v>
      </c>
      <c r="H11" s="628">
        <v>8</v>
      </c>
    </row>
    <row r="12" spans="1:8" ht="15">
      <c r="A12" s="629">
        <v>1</v>
      </c>
      <c r="B12" s="630" t="s">
        <v>333</v>
      </c>
      <c r="C12" s="631">
        <v>801</v>
      </c>
      <c r="D12" s="632">
        <v>80110</v>
      </c>
      <c r="E12" s="696">
        <v>4650</v>
      </c>
      <c r="F12" s="697">
        <f>+G12+H12</f>
        <v>4650</v>
      </c>
      <c r="G12" s="698">
        <f>+E12</f>
        <v>4650</v>
      </c>
      <c r="H12" s="699"/>
    </row>
    <row r="13" spans="1:8" ht="15">
      <c r="A13" s="633">
        <v>2</v>
      </c>
      <c r="B13" s="634" t="s">
        <v>334</v>
      </c>
      <c r="C13" s="635">
        <v>801</v>
      </c>
      <c r="D13" s="636">
        <v>80110</v>
      </c>
      <c r="E13" s="637">
        <v>5500</v>
      </c>
      <c r="F13" s="700">
        <f aca="true" t="shared" si="0" ref="F13:F19">+G13+H13</f>
        <v>5500</v>
      </c>
      <c r="G13" s="635">
        <f aca="true" t="shared" si="1" ref="G13:G19">+E13</f>
        <v>5500</v>
      </c>
      <c r="H13" s="638"/>
    </row>
    <row r="14" spans="1:8" ht="15">
      <c r="A14" s="633">
        <v>3</v>
      </c>
      <c r="B14" s="634" t="s">
        <v>335</v>
      </c>
      <c r="C14" s="635">
        <v>801</v>
      </c>
      <c r="D14" s="636">
        <v>80110</v>
      </c>
      <c r="E14" s="637">
        <v>7000</v>
      </c>
      <c r="F14" s="700">
        <f t="shared" si="0"/>
        <v>7000</v>
      </c>
      <c r="G14" s="635">
        <f t="shared" si="1"/>
        <v>7000</v>
      </c>
      <c r="H14" s="638"/>
    </row>
    <row r="15" spans="1:8" ht="15">
      <c r="A15" s="633">
        <v>4</v>
      </c>
      <c r="B15" s="634" t="s">
        <v>336</v>
      </c>
      <c r="C15" s="635">
        <v>801</v>
      </c>
      <c r="D15" s="636">
        <v>80101</v>
      </c>
      <c r="E15" s="637">
        <v>21200</v>
      </c>
      <c r="F15" s="700">
        <f t="shared" si="0"/>
        <v>21200</v>
      </c>
      <c r="G15" s="635">
        <f t="shared" si="1"/>
        <v>21200</v>
      </c>
      <c r="H15" s="638"/>
    </row>
    <row r="16" spans="1:8" ht="15">
      <c r="A16" s="633">
        <v>5</v>
      </c>
      <c r="B16" s="634" t="s">
        <v>337</v>
      </c>
      <c r="C16" s="635">
        <v>801</v>
      </c>
      <c r="D16" s="636">
        <v>80101</v>
      </c>
      <c r="E16" s="637">
        <v>14500</v>
      </c>
      <c r="F16" s="700">
        <f t="shared" si="0"/>
        <v>14500</v>
      </c>
      <c r="G16" s="635">
        <f t="shared" si="1"/>
        <v>14500</v>
      </c>
      <c r="H16" s="638"/>
    </row>
    <row r="17" spans="1:8" ht="15">
      <c r="A17" s="633">
        <v>6</v>
      </c>
      <c r="B17" s="634" t="s">
        <v>229</v>
      </c>
      <c r="C17" s="635">
        <v>801</v>
      </c>
      <c r="D17" s="636">
        <v>80101</v>
      </c>
      <c r="E17" s="637">
        <v>4300</v>
      </c>
      <c r="F17" s="700">
        <f t="shared" si="0"/>
        <v>4300</v>
      </c>
      <c r="G17" s="635">
        <f t="shared" si="1"/>
        <v>4300</v>
      </c>
      <c r="H17" s="638"/>
    </row>
    <row r="18" spans="1:8" ht="15">
      <c r="A18" s="633">
        <v>7</v>
      </c>
      <c r="B18" s="634" t="s">
        <v>338</v>
      </c>
      <c r="C18" s="635">
        <v>801</v>
      </c>
      <c r="D18" s="636">
        <v>80101</v>
      </c>
      <c r="E18" s="637">
        <v>7500</v>
      </c>
      <c r="F18" s="700">
        <f t="shared" si="0"/>
        <v>7500</v>
      </c>
      <c r="G18" s="635">
        <f t="shared" si="1"/>
        <v>7500</v>
      </c>
      <c r="H18" s="638"/>
    </row>
    <row r="19" spans="1:8" ht="15.75" thickBot="1">
      <c r="A19" s="639">
        <v>8</v>
      </c>
      <c r="B19" s="640" t="s">
        <v>339</v>
      </c>
      <c r="C19" s="641">
        <v>801</v>
      </c>
      <c r="D19" s="642">
        <v>80114</v>
      </c>
      <c r="E19" s="701">
        <v>5700</v>
      </c>
      <c r="F19" s="702">
        <f t="shared" si="0"/>
        <v>5700</v>
      </c>
      <c r="G19" s="703">
        <f t="shared" si="1"/>
        <v>5700</v>
      </c>
      <c r="H19" s="704"/>
    </row>
    <row r="20" spans="1:8" ht="15.75" thickBot="1">
      <c r="A20" s="864" t="s">
        <v>83</v>
      </c>
      <c r="B20" s="865"/>
      <c r="C20" s="617"/>
      <c r="D20" s="618"/>
      <c r="E20" s="619">
        <f>SUM(E12:E19)</f>
        <v>70350</v>
      </c>
      <c r="F20" s="620">
        <f>SUM(F12:F19)</f>
        <v>70350</v>
      </c>
      <c r="G20" s="617">
        <f>SUM(G12:G19)</f>
        <v>70350</v>
      </c>
      <c r="H20" s="621">
        <f>SUM(H12:H19)</f>
        <v>0</v>
      </c>
    </row>
  </sheetData>
  <mergeCells count="9">
    <mergeCell ref="A20:B20"/>
    <mergeCell ref="F9:F10"/>
    <mergeCell ref="A7:H7"/>
    <mergeCell ref="A9:A10"/>
    <mergeCell ref="B9:B10"/>
    <mergeCell ref="C9:C10"/>
    <mergeCell ref="D9:D10"/>
    <mergeCell ref="E9:E10"/>
    <mergeCell ref="G9:H9"/>
  </mergeCells>
  <printOptions horizontalCentered="1"/>
  <pageMargins left="0.5118110236220472" right="0.31496062992125984" top="0.4" bottom="0.984251968503937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view="pageBreakPreview" zoomScaleSheetLayoutView="100" workbookViewId="0" topLeftCell="A1">
      <selection activeCell="D2" sqref="D2:D4"/>
    </sheetView>
  </sheetViews>
  <sheetFormatPr defaultColWidth="9.00390625" defaultRowHeight="12.75"/>
  <cols>
    <col min="1" max="1" width="7.75390625" style="0" customWidth="1"/>
    <col min="2" max="2" width="10.00390625" style="0" customWidth="1"/>
    <col min="3" max="3" width="47.75390625" style="0" customWidth="1"/>
    <col min="4" max="6" width="12.625" style="0" customWidth="1"/>
  </cols>
  <sheetData>
    <row r="1" ht="12.75">
      <c r="D1" t="s">
        <v>437</v>
      </c>
    </row>
    <row r="2" ht="12.75">
      <c r="D2" t="s">
        <v>654</v>
      </c>
    </row>
    <row r="3" ht="12.75">
      <c r="D3" t="s">
        <v>130</v>
      </c>
    </row>
    <row r="4" ht="12.75">
      <c r="D4" t="s">
        <v>655</v>
      </c>
    </row>
    <row r="7" spans="1:5" ht="31.5" customHeight="1">
      <c r="A7" s="881" t="s">
        <v>613</v>
      </c>
      <c r="B7" s="881"/>
      <c r="C7" s="881"/>
      <c r="D7" s="881"/>
      <c r="E7" s="881"/>
    </row>
    <row r="8" spans="3:4" ht="11.25" customHeight="1">
      <c r="C8" s="1"/>
      <c r="D8" s="9" t="s">
        <v>29</v>
      </c>
    </row>
    <row r="9" spans="1:6" ht="19.5" customHeight="1">
      <c r="A9" s="885" t="s">
        <v>4</v>
      </c>
      <c r="B9" s="885" t="s">
        <v>5</v>
      </c>
      <c r="C9" s="885" t="s">
        <v>7</v>
      </c>
      <c r="D9" s="882" t="s">
        <v>30</v>
      </c>
      <c r="E9" s="883"/>
      <c r="F9" s="884"/>
    </row>
    <row r="10" spans="1:6" ht="19.5" customHeight="1">
      <c r="A10" s="886"/>
      <c r="B10" s="886"/>
      <c r="C10" s="886"/>
      <c r="D10" s="596" t="s">
        <v>573</v>
      </c>
      <c r="E10" s="714" t="s">
        <v>574</v>
      </c>
      <c r="F10" s="714" t="s">
        <v>575</v>
      </c>
    </row>
    <row r="11" spans="1:6" s="46" customFormat="1" ht="13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</row>
    <row r="12" spans="1:6" s="46" customFormat="1" ht="37.5" customHeight="1">
      <c r="A12" s="880" t="s">
        <v>576</v>
      </c>
      <c r="B12" s="880"/>
      <c r="C12" s="599" t="s">
        <v>577</v>
      </c>
      <c r="D12" s="16"/>
      <c r="E12" s="17"/>
      <c r="F12" s="17"/>
    </row>
    <row r="13" spans="1:6" s="46" customFormat="1" ht="12.75">
      <c r="A13" s="249"/>
      <c r="B13" s="249"/>
      <c r="C13" s="593"/>
      <c r="D13" s="18"/>
      <c r="E13" s="19"/>
      <c r="F13" s="19"/>
    </row>
    <row r="14" spans="1:6" s="46" customFormat="1" ht="12.75">
      <c r="A14" s="21">
        <v>801</v>
      </c>
      <c r="B14" s="21">
        <v>80197</v>
      </c>
      <c r="C14" s="22" t="s">
        <v>583</v>
      </c>
      <c r="D14" s="234"/>
      <c r="E14" s="601">
        <v>140000</v>
      </c>
      <c r="F14" s="233"/>
    </row>
    <row r="15" spans="1:6" ht="25.5">
      <c r="A15" s="21">
        <v>853</v>
      </c>
      <c r="B15" s="21">
        <v>85395</v>
      </c>
      <c r="C15" s="22" t="s">
        <v>619</v>
      </c>
      <c r="D15" s="234"/>
      <c r="E15" s="600"/>
      <c r="F15" s="233">
        <v>40000</v>
      </c>
    </row>
    <row r="16" spans="1:6" ht="12.75">
      <c r="A16" s="21">
        <v>921</v>
      </c>
      <c r="B16" s="21">
        <v>92113</v>
      </c>
      <c r="C16" s="22" t="s">
        <v>582</v>
      </c>
      <c r="D16" s="234">
        <v>900000</v>
      </c>
      <c r="F16" s="233"/>
    </row>
    <row r="17" spans="1:6" ht="12.75">
      <c r="A17" s="21">
        <v>921</v>
      </c>
      <c r="B17" s="21">
        <v>92116</v>
      </c>
      <c r="C17" s="22" t="s">
        <v>581</v>
      </c>
      <c r="D17" s="234">
        <v>289838</v>
      </c>
      <c r="E17" s="601"/>
      <c r="F17" s="233"/>
    </row>
    <row r="18" spans="1:6" ht="12.75">
      <c r="A18" s="66">
        <v>926</v>
      </c>
      <c r="B18" s="66">
        <v>92601</v>
      </c>
      <c r="C18" s="594" t="s">
        <v>584</v>
      </c>
      <c r="D18" s="234"/>
      <c r="E18" s="601">
        <v>538500</v>
      </c>
      <c r="F18" s="233"/>
    </row>
    <row r="19" spans="1:6" ht="12.75">
      <c r="A19" s="589"/>
      <c r="B19" s="589"/>
      <c r="C19" s="595"/>
      <c r="D19" s="235"/>
      <c r="E19" s="602"/>
      <c r="F19" s="603"/>
    </row>
    <row r="20" spans="1:6" ht="37.5" customHeight="1">
      <c r="A20" s="880" t="s">
        <v>578</v>
      </c>
      <c r="B20" s="880"/>
      <c r="C20" s="599" t="s">
        <v>579</v>
      </c>
      <c r="D20" s="604"/>
      <c r="E20" s="605"/>
      <c r="F20" s="606"/>
    </row>
    <row r="21" spans="1:6" ht="12.75">
      <c r="A21" s="715"/>
      <c r="B21" s="715"/>
      <c r="C21" s="716"/>
      <c r="D21" s="717"/>
      <c r="E21" s="718"/>
      <c r="F21" s="718"/>
    </row>
    <row r="22" spans="1:6" ht="12.75">
      <c r="A22" s="21">
        <v>754</v>
      </c>
      <c r="B22" s="21">
        <v>75412</v>
      </c>
      <c r="C22" s="22" t="s">
        <v>631</v>
      </c>
      <c r="D22" s="234"/>
      <c r="E22" s="601"/>
      <c r="F22" s="601">
        <v>20000</v>
      </c>
    </row>
    <row r="23" spans="1:6" ht="12.75">
      <c r="A23" s="66">
        <v>801</v>
      </c>
      <c r="B23" s="66">
        <v>80104</v>
      </c>
      <c r="C23" s="594" t="s">
        <v>580</v>
      </c>
      <c r="D23" s="607">
        <v>1818180</v>
      </c>
      <c r="E23" s="611"/>
      <c r="F23" s="611"/>
    </row>
    <row r="24" spans="1:6" ht="25.5">
      <c r="A24" s="66">
        <v>926</v>
      </c>
      <c r="B24" s="66">
        <v>92605</v>
      </c>
      <c r="C24" s="594" t="s">
        <v>319</v>
      </c>
      <c r="D24" s="607"/>
      <c r="E24" s="601"/>
      <c r="F24" s="234">
        <v>200000</v>
      </c>
    </row>
    <row r="25" spans="1:6" ht="25.5">
      <c r="A25" s="66">
        <v>926</v>
      </c>
      <c r="B25" s="66">
        <v>92605</v>
      </c>
      <c r="C25" s="594" t="s">
        <v>320</v>
      </c>
      <c r="D25" s="607"/>
      <c r="E25" s="601"/>
      <c r="F25" s="234">
        <v>50000</v>
      </c>
    </row>
    <row r="26" spans="1:6" ht="25.5">
      <c r="A26" s="66">
        <v>926</v>
      </c>
      <c r="B26" s="66">
        <v>92605</v>
      </c>
      <c r="C26" s="594" t="s">
        <v>340</v>
      </c>
      <c r="D26" s="607"/>
      <c r="E26" s="601"/>
      <c r="F26" s="234">
        <v>45000</v>
      </c>
    </row>
    <row r="27" spans="1:6" ht="25.5">
      <c r="A27" s="21">
        <v>926</v>
      </c>
      <c r="B27" s="21">
        <v>92605</v>
      </c>
      <c r="C27" s="22" t="s">
        <v>341</v>
      </c>
      <c r="D27" s="234"/>
      <c r="E27" s="601"/>
      <c r="F27" s="234">
        <v>35000</v>
      </c>
    </row>
    <row r="28" spans="1:6" ht="25.5">
      <c r="A28" s="21">
        <v>926</v>
      </c>
      <c r="B28" s="21">
        <v>92605</v>
      </c>
      <c r="C28" s="22" t="s">
        <v>321</v>
      </c>
      <c r="D28" s="234"/>
      <c r="E28" s="601"/>
      <c r="F28" s="234">
        <v>12000</v>
      </c>
    </row>
    <row r="29" spans="1:6" ht="12.75">
      <c r="A29" s="589">
        <v>926</v>
      </c>
      <c r="B29" s="589">
        <v>92605</v>
      </c>
      <c r="C29" s="595" t="s">
        <v>604</v>
      </c>
      <c r="D29" s="608"/>
      <c r="E29" s="609"/>
      <c r="F29" s="608">
        <f>50000+20000</f>
        <v>70000</v>
      </c>
    </row>
    <row r="30" spans="1:6" ht="12.75" hidden="1">
      <c r="A30" s="21">
        <v>926</v>
      </c>
      <c r="B30" s="21">
        <v>92605</v>
      </c>
      <c r="C30" s="22" t="s">
        <v>603</v>
      </c>
      <c r="D30" s="234"/>
      <c r="E30" s="601"/>
      <c r="F30" s="234"/>
    </row>
    <row r="31" spans="1:6" ht="25.5">
      <c r="A31" s="21">
        <v>926</v>
      </c>
      <c r="B31" s="21">
        <v>92605</v>
      </c>
      <c r="C31" s="22" t="s">
        <v>322</v>
      </c>
      <c r="D31" s="234"/>
      <c r="E31" s="601"/>
      <c r="F31" s="234">
        <v>16000</v>
      </c>
    </row>
    <row r="32" spans="1:6" ht="12.75">
      <c r="A32" s="21">
        <v>926</v>
      </c>
      <c r="B32" s="21">
        <v>92605</v>
      </c>
      <c r="C32" s="22" t="s">
        <v>323</v>
      </c>
      <c r="D32" s="234"/>
      <c r="E32" s="601"/>
      <c r="F32" s="234">
        <v>5000</v>
      </c>
    </row>
    <row r="33" spans="1:6" ht="12.75">
      <c r="A33" s="24"/>
      <c r="B33" s="24"/>
      <c r="C33" s="610"/>
      <c r="D33" s="235"/>
      <c r="E33" s="602"/>
      <c r="F33" s="602"/>
    </row>
    <row r="34" spans="1:10" ht="12.75">
      <c r="A34" s="597"/>
      <c r="B34" s="597"/>
      <c r="C34" s="598"/>
      <c r="D34" s="98">
        <f>SUM(D14:D33)</f>
        <v>3008018</v>
      </c>
      <c r="E34" s="98">
        <f>SUM(E14:E33)</f>
        <v>678500</v>
      </c>
      <c r="F34" s="98">
        <f>SUM(F14:F33)</f>
        <v>493000</v>
      </c>
      <c r="H34" s="138">
        <f>SUM(D34:G34)</f>
        <v>4179518</v>
      </c>
      <c r="I34" s="138">
        <f>+tabl2!I269</f>
        <v>4119517.8</v>
      </c>
      <c r="J34" s="138">
        <f>+I34-H34</f>
        <v>-60000.200000000186</v>
      </c>
    </row>
    <row r="35" spans="1:6" ht="12.75">
      <c r="A35" s="1"/>
      <c r="B35" s="1"/>
      <c r="C35" s="1"/>
      <c r="D35" s="1"/>
      <c r="E35" s="1"/>
      <c r="F35" s="1"/>
    </row>
    <row r="36" spans="1:6" ht="12.75">
      <c r="A36" s="1" t="s">
        <v>23</v>
      </c>
      <c r="B36" s="1" t="s">
        <v>23</v>
      </c>
      <c r="C36" s="1" t="s">
        <v>23</v>
      </c>
      <c r="D36" s="1"/>
      <c r="E36" s="1"/>
      <c r="F36" s="1"/>
    </row>
  </sheetData>
  <mergeCells count="7">
    <mergeCell ref="A20:B20"/>
    <mergeCell ref="A7:E7"/>
    <mergeCell ref="D9:F9"/>
    <mergeCell ref="A12:B12"/>
    <mergeCell ref="A9:A10"/>
    <mergeCell ref="B9:B10"/>
    <mergeCell ref="C9:C10"/>
  </mergeCells>
  <printOptions horizontalCentered="1"/>
  <pageMargins left="0.3937007874015748" right="0.2" top="0.78" bottom="0.984251968503937" header="0.26" footer="0.5118110236220472"/>
  <pageSetup fitToHeight="3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8.25390625" style="1" customWidth="1"/>
    <col min="4" max="4" width="9.25390625" style="1" customWidth="1"/>
    <col min="5" max="5" width="55.00390625" style="1" customWidth="1"/>
    <col min="6" max="6" width="14.875" style="1" customWidth="1"/>
    <col min="7" max="7" width="9.125" style="1" customWidth="1"/>
    <col min="8" max="8" width="14.875" style="1" bestFit="1" customWidth="1"/>
    <col min="9" max="16384" width="9.125" style="1" customWidth="1"/>
  </cols>
  <sheetData>
    <row r="1" ht="12.75">
      <c r="F1" s="41" t="s">
        <v>614</v>
      </c>
    </row>
    <row r="2" ht="12.75">
      <c r="F2" s="41" t="s">
        <v>657</v>
      </c>
    </row>
    <row r="3" ht="12.75">
      <c r="F3" s="41" t="s">
        <v>130</v>
      </c>
    </row>
    <row r="4" ht="12.75">
      <c r="F4" s="41" t="s">
        <v>658</v>
      </c>
    </row>
    <row r="5" spans="6:8" ht="12.75">
      <c r="F5" s="41"/>
      <c r="H5" t="s">
        <v>654</v>
      </c>
    </row>
    <row r="6" spans="1:13" ht="19.5" customHeight="1">
      <c r="A6" s="887" t="s">
        <v>26</v>
      </c>
      <c r="B6" s="887"/>
      <c r="C6" s="887"/>
      <c r="D6" s="887"/>
      <c r="E6" s="887"/>
      <c r="F6" s="887"/>
      <c r="G6" s="6"/>
      <c r="H6" t="s">
        <v>130</v>
      </c>
      <c r="I6" s="6"/>
      <c r="J6" s="6"/>
      <c r="K6" s="6"/>
      <c r="L6" s="6"/>
      <c r="M6" s="6"/>
    </row>
    <row r="7" spans="1:10" ht="19.5" customHeight="1">
      <c r="A7" s="887" t="s">
        <v>481</v>
      </c>
      <c r="B7" s="887"/>
      <c r="C7" s="887"/>
      <c r="D7" s="887"/>
      <c r="E7" s="887"/>
      <c r="F7" s="887"/>
      <c r="G7" s="6"/>
      <c r="H7" t="s">
        <v>655</v>
      </c>
      <c r="I7" s="6"/>
      <c r="J7" s="6"/>
    </row>
    <row r="9" ht="13.5" thickBot="1">
      <c r="F9" s="9" t="s">
        <v>29</v>
      </c>
    </row>
    <row r="10" spans="1:13" ht="19.5" customHeight="1" thickBot="1">
      <c r="A10" s="259" t="s">
        <v>32</v>
      </c>
      <c r="B10" s="253" t="s">
        <v>4</v>
      </c>
      <c r="C10" s="253" t="s">
        <v>427</v>
      </c>
      <c r="D10" s="253" t="s">
        <v>428</v>
      </c>
      <c r="E10" s="260" t="s">
        <v>2</v>
      </c>
      <c r="F10" s="261" t="s">
        <v>434</v>
      </c>
      <c r="G10" s="7"/>
      <c r="H10" s="7"/>
      <c r="I10" s="7"/>
      <c r="J10" s="7"/>
      <c r="K10" s="7"/>
      <c r="L10" s="8"/>
      <c r="M10" s="8"/>
    </row>
    <row r="11" spans="1:13" ht="19.5" customHeight="1">
      <c r="A11" s="262" t="s">
        <v>12</v>
      </c>
      <c r="B11" s="15"/>
      <c r="C11" s="15"/>
      <c r="D11" s="15"/>
      <c r="E11" s="27" t="s">
        <v>33</v>
      </c>
      <c r="F11" s="263">
        <v>250000</v>
      </c>
      <c r="G11" s="7"/>
      <c r="H11" s="7"/>
      <c r="I11" s="7"/>
      <c r="J11" s="7"/>
      <c r="K11" s="7"/>
      <c r="L11" s="8"/>
      <c r="M11" s="8"/>
    </row>
    <row r="12" spans="1:13" ht="19.5" customHeight="1">
      <c r="A12" s="262" t="s">
        <v>18</v>
      </c>
      <c r="B12" s="15"/>
      <c r="C12" s="15"/>
      <c r="D12" s="15"/>
      <c r="E12" s="27" t="s">
        <v>11</v>
      </c>
      <c r="F12" s="263">
        <f>SUM(F14:F16)</f>
        <v>210000</v>
      </c>
      <c r="G12" s="7"/>
      <c r="H12" s="7"/>
      <c r="I12" s="7"/>
      <c r="J12" s="7"/>
      <c r="K12" s="7"/>
      <c r="L12" s="8"/>
      <c r="M12" s="8"/>
    </row>
    <row r="13" spans="1:13" ht="19.5" customHeight="1">
      <c r="A13" s="264" t="s">
        <v>14</v>
      </c>
      <c r="B13" s="239">
        <v>900</v>
      </c>
      <c r="C13" s="240">
        <v>90011</v>
      </c>
      <c r="D13" s="248">
        <v>690</v>
      </c>
      <c r="E13" s="241" t="s">
        <v>429</v>
      </c>
      <c r="F13" s="265">
        <f>SUM(F14:F15)</f>
        <v>210000</v>
      </c>
      <c r="G13" s="7"/>
      <c r="H13" s="7"/>
      <c r="I13" s="7"/>
      <c r="J13" s="7"/>
      <c r="K13" s="7"/>
      <c r="L13" s="8"/>
      <c r="M13" s="8"/>
    </row>
    <row r="14" spans="1:13" ht="19.5" customHeight="1">
      <c r="A14" s="266"/>
      <c r="B14" s="249"/>
      <c r="C14" s="249"/>
      <c r="D14" s="249"/>
      <c r="E14" s="29" t="s">
        <v>324</v>
      </c>
      <c r="F14" s="267">
        <f>150000-10000</f>
        <v>140000</v>
      </c>
      <c r="G14" s="7"/>
      <c r="H14" s="7"/>
      <c r="I14" s="7"/>
      <c r="J14" s="7"/>
      <c r="K14" s="7"/>
      <c r="L14" s="8"/>
      <c r="M14" s="8"/>
    </row>
    <row r="15" spans="1:13" ht="19.5" customHeight="1">
      <c r="A15" s="266"/>
      <c r="B15" s="249"/>
      <c r="C15" s="249"/>
      <c r="D15" s="249"/>
      <c r="E15" s="29" t="s">
        <v>325</v>
      </c>
      <c r="F15" s="267">
        <v>70000</v>
      </c>
      <c r="G15" s="7"/>
      <c r="H15" s="7"/>
      <c r="I15" s="7"/>
      <c r="J15" s="7"/>
      <c r="K15" s="7"/>
      <c r="L15" s="8"/>
      <c r="M15" s="8"/>
    </row>
    <row r="16" spans="1:13" ht="19.5" customHeight="1">
      <c r="A16" s="268" t="s">
        <v>23</v>
      </c>
      <c r="B16" s="250"/>
      <c r="C16" s="250"/>
      <c r="D16" s="250"/>
      <c r="E16" s="30"/>
      <c r="F16" s="269"/>
      <c r="G16" s="7"/>
      <c r="H16" s="7"/>
      <c r="I16" s="7"/>
      <c r="J16" s="7"/>
      <c r="K16" s="7"/>
      <c r="L16" s="8"/>
      <c r="M16" s="8"/>
    </row>
    <row r="17" spans="1:13" ht="19.5" customHeight="1">
      <c r="A17" s="262" t="s">
        <v>19</v>
      </c>
      <c r="B17" s="15"/>
      <c r="C17" s="15"/>
      <c r="D17" s="15"/>
      <c r="E17" s="27" t="s">
        <v>10</v>
      </c>
      <c r="F17" s="263">
        <f>+F18+F34</f>
        <v>460000</v>
      </c>
      <c r="G17" s="7"/>
      <c r="H17" s="7"/>
      <c r="I17" s="7"/>
      <c r="J17" s="7"/>
      <c r="K17" s="7"/>
      <c r="L17" s="8"/>
      <c r="M17" s="8"/>
    </row>
    <row r="18" spans="1:13" ht="15.75">
      <c r="A18" s="242" t="s">
        <v>14</v>
      </c>
      <c r="B18" s="239">
        <v>900</v>
      </c>
      <c r="C18" s="240">
        <v>90011</v>
      </c>
      <c r="D18" s="243"/>
      <c r="E18" s="254" t="s">
        <v>24</v>
      </c>
      <c r="F18" s="270">
        <f>SUM(F30:F33)</f>
        <v>460000</v>
      </c>
      <c r="G18" s="7"/>
      <c r="H18" s="7"/>
      <c r="I18" s="7"/>
      <c r="J18" s="7"/>
      <c r="K18" s="7"/>
      <c r="L18" s="8"/>
      <c r="M18" s="8"/>
    </row>
    <row r="19" spans="1:13" ht="15">
      <c r="A19" s="266"/>
      <c r="B19" s="249"/>
      <c r="C19" s="249"/>
      <c r="D19" s="249"/>
      <c r="E19" s="31" t="s">
        <v>326</v>
      </c>
      <c r="F19" s="267">
        <f>SUM(F20:F28)-F30-F31-F32</f>
        <v>0</v>
      </c>
      <c r="G19" s="7"/>
      <c r="H19" s="251">
        <f>SUM(F20:F29)</f>
        <v>460000</v>
      </c>
      <c r="I19" s="7"/>
      <c r="J19" s="7"/>
      <c r="K19" s="7"/>
      <c r="L19" s="8"/>
      <c r="M19" s="8"/>
    </row>
    <row r="20" spans="1:13" ht="15">
      <c r="A20" s="266"/>
      <c r="B20" s="249"/>
      <c r="C20" s="249"/>
      <c r="D20" s="249"/>
      <c r="E20" s="31" t="s">
        <v>327</v>
      </c>
      <c r="F20" s="267">
        <v>20000</v>
      </c>
      <c r="G20" s="7"/>
      <c r="H20" s="7"/>
      <c r="I20" s="7"/>
      <c r="J20" s="7"/>
      <c r="K20" s="7"/>
      <c r="L20" s="8"/>
      <c r="M20" s="8"/>
    </row>
    <row r="21" spans="1:13" ht="25.5">
      <c r="A21" s="266"/>
      <c r="B21" s="249"/>
      <c r="C21" s="249"/>
      <c r="D21" s="249"/>
      <c r="E21" s="31" t="s">
        <v>645</v>
      </c>
      <c r="F21" s="267">
        <v>7000</v>
      </c>
      <c r="G21" s="7"/>
      <c r="H21" s="7"/>
      <c r="I21" s="7"/>
      <c r="J21" s="7"/>
      <c r="K21" s="7"/>
      <c r="L21" s="8"/>
      <c r="M21" s="8"/>
    </row>
    <row r="22" spans="1:13" ht="15">
      <c r="A22" s="266"/>
      <c r="B22" s="249"/>
      <c r="C22" s="249"/>
      <c r="D22" s="249"/>
      <c r="E22" s="31" t="s">
        <v>328</v>
      </c>
      <c r="F22" s="267">
        <f>10000+40000</f>
        <v>50000</v>
      </c>
      <c r="G22" s="7"/>
      <c r="H22" s="7"/>
      <c r="I22" s="7"/>
      <c r="J22" s="7"/>
      <c r="K22" s="7"/>
      <c r="L22" s="8"/>
      <c r="M22" s="8"/>
    </row>
    <row r="23" spans="1:13" ht="25.5">
      <c r="A23" s="266"/>
      <c r="B23" s="249"/>
      <c r="C23" s="249"/>
      <c r="D23" s="249"/>
      <c r="E23" s="31" t="s">
        <v>646</v>
      </c>
      <c r="F23" s="267">
        <v>150000</v>
      </c>
      <c r="G23" s="7"/>
      <c r="H23" s="7"/>
      <c r="I23" s="7"/>
      <c r="J23" s="7"/>
      <c r="K23" s="7"/>
      <c r="L23" s="8"/>
      <c r="M23" s="8"/>
    </row>
    <row r="24" spans="1:13" ht="15">
      <c r="A24" s="266"/>
      <c r="B24" s="249"/>
      <c r="C24" s="249"/>
      <c r="D24" s="249"/>
      <c r="E24" s="31" t="s">
        <v>329</v>
      </c>
      <c r="F24" s="267">
        <v>90000</v>
      </c>
      <c r="G24" s="7"/>
      <c r="H24" s="7"/>
      <c r="I24" s="7"/>
      <c r="J24" s="7"/>
      <c r="K24" s="7"/>
      <c r="L24" s="8"/>
      <c r="M24" s="8"/>
    </row>
    <row r="25" spans="1:13" ht="15">
      <c r="A25" s="266"/>
      <c r="B25" s="249"/>
      <c r="C25" s="249"/>
      <c r="D25" s="249"/>
      <c r="E25" s="31" t="s">
        <v>392</v>
      </c>
      <c r="F25" s="267">
        <f>50000-20000</f>
        <v>30000</v>
      </c>
      <c r="G25" s="7"/>
      <c r="H25" s="7"/>
      <c r="I25" s="7"/>
      <c r="J25" s="7"/>
      <c r="K25" s="7"/>
      <c r="L25" s="8"/>
      <c r="M25" s="8"/>
    </row>
    <row r="26" spans="1:13" ht="15">
      <c r="A26" s="266"/>
      <c r="B26" s="249"/>
      <c r="C26" s="249"/>
      <c r="D26" s="249"/>
      <c r="E26" s="31" t="s">
        <v>433</v>
      </c>
      <c r="F26" s="267">
        <v>50000</v>
      </c>
      <c r="G26" s="7"/>
      <c r="H26" s="7"/>
      <c r="I26" s="7"/>
      <c r="J26" s="7"/>
      <c r="K26" s="7"/>
      <c r="L26" s="8"/>
      <c r="M26" s="8"/>
    </row>
    <row r="27" spans="1:13" ht="25.5">
      <c r="A27" s="266"/>
      <c r="B27" s="249"/>
      <c r="C27" s="249"/>
      <c r="D27" s="249"/>
      <c r="E27" s="31" t="s">
        <v>435</v>
      </c>
      <c r="F27" s="267">
        <f>50000-20000</f>
        <v>30000</v>
      </c>
      <c r="G27" s="7"/>
      <c r="H27" s="7"/>
      <c r="I27" s="7"/>
      <c r="J27" s="7"/>
      <c r="K27" s="7"/>
      <c r="L27" s="8"/>
      <c r="M27" s="8"/>
    </row>
    <row r="28" spans="1:13" ht="25.5">
      <c r="A28" s="266"/>
      <c r="B28" s="249"/>
      <c r="C28" s="249"/>
      <c r="D28" s="249"/>
      <c r="E28" s="31" t="s">
        <v>394</v>
      </c>
      <c r="F28" s="267">
        <f>58000-28000+3000</f>
        <v>33000</v>
      </c>
      <c r="G28" s="7"/>
      <c r="H28" s="7"/>
      <c r="I28" s="7"/>
      <c r="J28" s="7"/>
      <c r="K28" s="7"/>
      <c r="L28" s="8"/>
      <c r="M28" s="8"/>
    </row>
    <row r="29" spans="1:13" ht="15">
      <c r="A29" s="266"/>
      <c r="B29" s="249"/>
      <c r="C29" s="249"/>
      <c r="D29" s="249"/>
      <c r="E29" s="31"/>
      <c r="F29" s="267"/>
      <c r="G29" s="7"/>
      <c r="H29" s="7"/>
      <c r="I29" s="7"/>
      <c r="J29" s="7"/>
      <c r="K29" s="7"/>
      <c r="L29" s="8"/>
      <c r="M29" s="8"/>
    </row>
    <row r="30" spans="1:13" ht="38.25">
      <c r="A30" s="266"/>
      <c r="B30" s="249"/>
      <c r="C30" s="249"/>
      <c r="D30" s="244">
        <v>2450</v>
      </c>
      <c r="E30" s="247" t="s">
        <v>430</v>
      </c>
      <c r="F30" s="245">
        <f>+F26+F25+F27</f>
        <v>110000</v>
      </c>
      <c r="G30" s="257"/>
      <c r="H30" s="252">
        <f>SUM(F30:F32)</f>
        <v>460000</v>
      </c>
      <c r="I30" s="7"/>
      <c r="J30" s="7"/>
      <c r="K30" s="7"/>
      <c r="L30" s="8"/>
      <c r="M30" s="8"/>
    </row>
    <row r="31" spans="1:13" ht="15">
      <c r="A31" s="266"/>
      <c r="B31" s="249"/>
      <c r="C31" s="249"/>
      <c r="D31" s="246">
        <v>4210</v>
      </c>
      <c r="E31" s="255" t="s">
        <v>431</v>
      </c>
      <c r="F31" s="245">
        <f>+F20*0.4+F28*0.4</f>
        <v>21200</v>
      </c>
      <c r="G31" s="257"/>
      <c r="H31" s="7"/>
      <c r="I31" s="7"/>
      <c r="J31" s="7"/>
      <c r="K31" s="7"/>
      <c r="L31" s="8"/>
      <c r="M31" s="8"/>
    </row>
    <row r="32" spans="1:13" ht="15">
      <c r="A32" s="266"/>
      <c r="B32" s="249"/>
      <c r="C32" s="249"/>
      <c r="D32" s="246">
        <v>4300</v>
      </c>
      <c r="E32" s="256" t="s">
        <v>432</v>
      </c>
      <c r="F32" s="245">
        <f>+F21+F22+F23+F24+F20*0.6+F28*0.6</f>
        <v>328800</v>
      </c>
      <c r="G32" s="257"/>
      <c r="H32" s="7"/>
      <c r="I32" s="7"/>
      <c r="J32" s="7"/>
      <c r="K32" s="7"/>
      <c r="L32" s="8"/>
      <c r="M32" s="8"/>
    </row>
    <row r="33" spans="1:13" ht="15">
      <c r="A33" s="271"/>
      <c r="B33" s="28"/>
      <c r="C33" s="28"/>
      <c r="D33" s="20"/>
      <c r="E33" s="31"/>
      <c r="F33" s="267"/>
      <c r="G33" s="258"/>
      <c r="H33" s="7"/>
      <c r="I33" s="7"/>
      <c r="J33" s="7"/>
      <c r="K33" s="7"/>
      <c r="L33" s="8"/>
      <c r="M33" s="8"/>
    </row>
    <row r="34" spans="1:13" ht="15">
      <c r="A34" s="272" t="s">
        <v>15</v>
      </c>
      <c r="B34" s="20"/>
      <c r="C34" s="20"/>
      <c r="D34" s="20"/>
      <c r="E34" s="31" t="s">
        <v>27</v>
      </c>
      <c r="F34" s="267">
        <v>0</v>
      </c>
      <c r="G34" s="258"/>
      <c r="H34" s="7"/>
      <c r="I34" s="7"/>
      <c r="J34" s="7"/>
      <c r="K34" s="7"/>
      <c r="L34" s="8"/>
      <c r="M34" s="8"/>
    </row>
    <row r="35" spans="1:13" ht="15">
      <c r="A35" s="273"/>
      <c r="B35" s="23"/>
      <c r="C35" s="23"/>
      <c r="D35" s="23"/>
      <c r="E35" s="32"/>
      <c r="F35" s="269"/>
      <c r="G35" s="258"/>
      <c r="H35" s="7"/>
      <c r="I35" s="7"/>
      <c r="J35" s="7"/>
      <c r="K35" s="7"/>
      <c r="L35" s="8"/>
      <c r="M35" s="8"/>
    </row>
    <row r="36" spans="1:13" ht="15.75" thickBot="1">
      <c r="A36" s="274" t="s">
        <v>25</v>
      </c>
      <c r="B36" s="275"/>
      <c r="C36" s="275"/>
      <c r="D36" s="275"/>
      <c r="E36" s="276" t="s">
        <v>35</v>
      </c>
      <c r="F36" s="277">
        <f>+F11+F12-F17</f>
        <v>0</v>
      </c>
      <c r="G36" s="258"/>
      <c r="H36" s="7"/>
      <c r="I36" s="7"/>
      <c r="J36" s="7"/>
      <c r="K36" s="7"/>
      <c r="L36" s="8"/>
      <c r="M36" s="8"/>
    </row>
    <row r="37" spans="1:13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</row>
    <row r="38" spans="1:1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</row>
    <row r="39" spans="1:1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</row>
    <row r="40" spans="1:1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</row>
    <row r="41" spans="1:1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</row>
    <row r="42" spans="1:13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</row>
    <row r="43" spans="1:13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mergeCells count="2">
    <mergeCell ref="A6:F6"/>
    <mergeCell ref="A7:F7"/>
  </mergeCells>
  <printOptions horizontalCentered="1"/>
  <pageMargins left="0.25" right="0.21" top="0.82" bottom="0.5905511811023623" header="0.2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LidiaP</cp:lastModifiedBy>
  <cp:lastPrinted>2009-12-22T11:01:55Z</cp:lastPrinted>
  <dcterms:created xsi:type="dcterms:W3CDTF">1998-12-09T13:02:10Z</dcterms:created>
  <dcterms:modified xsi:type="dcterms:W3CDTF">2009-12-22T13:54:16Z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