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6585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0">'1'!$A$1:$G$73</definedName>
    <definedName name="_xlnm.Print_Area" localSheetId="10">'10'!$A$1:$F$27</definedName>
    <definedName name="_xlnm.Print_Area" localSheetId="12">'12'!$A$1:$F$36</definedName>
    <definedName name="_xlnm.Print_Area" localSheetId="13">'13'!$A$1:$N$42</definedName>
    <definedName name="_xlnm.Print_Area" localSheetId="1">'2'!$A$1:$K$255</definedName>
    <definedName name="_xlnm.Print_Area" localSheetId="2">'3'!$A$1:$N$54</definedName>
    <definedName name="_xlnm.Print_Area" localSheetId="3">'3a'!$A$1:$K$65</definedName>
    <definedName name="_xlnm.Print_Area" localSheetId="4">'4'!$A$1:$Q$129</definedName>
    <definedName name="_xlnm.Print_Area" localSheetId="7">'7'!$A$1:$H$17</definedName>
    <definedName name="_xlnm.Print_Area" localSheetId="8">'8'!$A$1:$K$38</definedName>
    <definedName name="_xlnm.Print_Titles" localSheetId="0">'1'!$10:$11</definedName>
    <definedName name="_xlnm.Print_Titles" localSheetId="1">'2'!$4:$7</definedName>
    <definedName name="_xlnm.Print_Titles" localSheetId="3">'3a'!$7:$12</definedName>
    <definedName name="_xlnm.Print_Titles" localSheetId="4">'4'!$7:$13</definedName>
  </definedNames>
  <calcPr fullCalcOnLoad="1"/>
</workbook>
</file>

<file path=xl/sharedStrings.xml><?xml version="1.0" encoding="utf-8"?>
<sst xmlns="http://schemas.openxmlformats.org/spreadsheetml/2006/main" count="1221" uniqueCount="721">
  <si>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</si>
  <si>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</si>
  <si>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</si>
  <si>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</si>
  <si>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</si>
  <si>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</si>
  <si>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</si>
  <si>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</si>
  <si>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</si>
  <si>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</si>
  <si>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</si>
  <si>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</si>
  <si>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</si>
  <si>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</si>
  <si>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</si>
  <si>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</si>
  <si>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</si>
  <si>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</si>
  <si>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</si>
  <si>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</si>
  <si>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</si>
  <si>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</si>
  <si>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</si>
  <si>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</si>
  <si>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</si>
  <si>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</si>
  <si>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</si>
  <si>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</si>
  <si>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</si>
  <si>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</si>
  <si>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</si>
  <si>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</si>
  <si>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</si>
  <si>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</si>
  <si>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</si>
  <si>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</si>
  <si>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</si>
  <si>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</si>
  <si>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</si>
  <si>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</si>
  <si>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</si>
  <si>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</si>
  <si>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</si>
  <si>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</si>
  <si>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</si>
  <si>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</si>
  <si>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</si>
  <si>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</si>
  <si>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</si>
  <si>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</si>
  <si>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</si>
  <si>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</si>
  <si>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</si>
  <si>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</si>
  <si>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</si>
  <si>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</si>
  <si>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</si>
  <si>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</si>
  <si>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</si>
  <si>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2009 r.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</si>
  <si>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</si>
  <si>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</si>
  <si>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</si>
  <si>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</si>
  <si>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</si>
  <si>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</si>
  <si>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</si>
  <si>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</si>
  <si>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</si>
  <si>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</si>
  <si>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</si>
  <si>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</si>
  <si>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</si>
  <si>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</si>
  <si>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</si>
  <si>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</si>
  <si>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</si>
  <si>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</si>
  <si>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</si>
  <si>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</si>
  <si>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</si>
  <si>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</si>
  <si>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</si>
  <si>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</si>
  <si>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</si>
  <si>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</si>
  <si>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</si>
  <si>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</si>
  <si>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</si>
  <si>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</si>
  <si>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</si>
  <si>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</si>
  <si>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</si>
  <si>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</si>
  <si>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</si>
  <si>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</si>
  <si>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</si>
  <si>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</si>
  <si>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</si>
  <si>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</si>
  <si>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</si>
  <si>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</si>
  <si>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</si>
  <si>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</si>
  <si>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</si>
  <si>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</si>
  <si>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</si>
  <si>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</si>
  <si>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</si>
  <si>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</si>
  <si>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</si>
  <si>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</si>
  <si>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</si>
  <si>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</si>
  <si>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</si>
  <si>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</si>
  <si>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</si>
  <si>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</si>
  <si>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</si>
  <si>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</si>
  <si>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</si>
  <si>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</si>
  <si>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Prognozowany wynik finansowy</t>
  </si>
  <si>
    <t>Łączne koszty finansowe</t>
  </si>
  <si>
    <t>Źródło dochodów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</si>
  <si>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</si>
  <si>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</si>
  <si>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</si>
  <si>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</si>
  <si>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</si>
  <si>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</si>
  <si>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</si>
  <si>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</si>
  <si>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</si>
  <si>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</si>
  <si>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</si>
  <si>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</si>
  <si>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</si>
  <si>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</si>
  <si>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</si>
  <si>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</si>
  <si>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</si>
  <si>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</si>
  <si>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</si>
  <si>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</si>
  <si>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</si>
  <si>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</si>
  <si>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</si>
  <si>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</si>
  <si>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</si>
  <si>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</si>
  <si>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</si>
  <si>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</si>
  <si>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</si>
  <si>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</si>
  <si>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</si>
  <si>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</si>
  <si>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</si>
  <si>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</si>
  <si>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</si>
  <si>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</si>
  <si>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</si>
  <si>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</si>
  <si>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</si>
  <si>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</si>
  <si>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</si>
  <si>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</si>
  <si>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</si>
  <si>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1.3.1</t>
  </si>
  <si>
    <t>1.3.2</t>
  </si>
  <si>
    <t xml:space="preserve">Zaciągnięte zobowiązania  </t>
  </si>
  <si>
    <t>Planowane zobowiązania</t>
  </si>
  <si>
    <t>z tego źródła finansowania</t>
  </si>
  <si>
    <t>Klasyfikacja (dział, rozdział,
paragraf)</t>
  </si>
  <si>
    <t>środki pochodzące
 z innych  źródeł*</t>
  </si>
  <si>
    <t>O690</t>
  </si>
  <si>
    <t>700 Gospodarka mieszkaniowa</t>
  </si>
  <si>
    <t>O470</t>
  </si>
  <si>
    <t>wpływy za zarząd , użytkowanie i użytkowanie wieczyste nieruchomości</t>
  </si>
  <si>
    <t>O490</t>
  </si>
  <si>
    <t>O750</t>
  </si>
  <si>
    <t>najem lokali mieszkalnych</t>
  </si>
  <si>
    <t xml:space="preserve">najem lokali użytkowych </t>
  </si>
  <si>
    <t xml:space="preserve">dzierżawa gruntów </t>
  </si>
  <si>
    <t>O760</t>
  </si>
  <si>
    <t xml:space="preserve">sprzedaż mieszkań </t>
  </si>
  <si>
    <t>Rady Miejskiej w Jelczu-Laskowicach</t>
  </si>
  <si>
    <t>pozostałe odsetki</t>
  </si>
  <si>
    <t>wpływy z różnych opłat ( koszty upomnień i inne )</t>
  </si>
  <si>
    <t>O970</t>
  </si>
  <si>
    <t xml:space="preserve">wpływy z różnych dochodów </t>
  </si>
  <si>
    <t>dochody związane z realizacją zadań z zakresu administracji rządowej (należność na pobieranie opłat za dowody osobiste)</t>
  </si>
  <si>
    <t>O920</t>
  </si>
  <si>
    <t>O350</t>
  </si>
  <si>
    <t>O910</t>
  </si>
  <si>
    <t>odsetki od nieterminowych wpłat z tytułu podatków i opłat</t>
  </si>
  <si>
    <t>O310</t>
  </si>
  <si>
    <t>podatek od nieruchomości</t>
  </si>
  <si>
    <t>O320</t>
  </si>
  <si>
    <t>podatek rolny</t>
  </si>
  <si>
    <t>O330</t>
  </si>
  <si>
    <t>podatek lesny</t>
  </si>
  <si>
    <t>O340</t>
  </si>
  <si>
    <t xml:space="preserve">podatek od środków transportowych </t>
  </si>
  <si>
    <t>O500</t>
  </si>
  <si>
    <t>podatek od czynności cywilnoprawnych</t>
  </si>
  <si>
    <t>O360</t>
  </si>
  <si>
    <t>podatek od spadków i darowizn</t>
  </si>
  <si>
    <t>O430</t>
  </si>
  <si>
    <t>wpływy z opłaty targowej</t>
  </si>
  <si>
    <t xml:space="preserve">podatek od czynności cywilnoprawnych </t>
  </si>
  <si>
    <t>O410</t>
  </si>
  <si>
    <t>wpływy z opłaty skarbowej</t>
  </si>
  <si>
    <t>O480</t>
  </si>
  <si>
    <t>O010</t>
  </si>
  <si>
    <t xml:space="preserve">podatek dochodowy od osób fizycznych </t>
  </si>
  <si>
    <t xml:space="preserve">podatek dochodowy od osób prawnych </t>
  </si>
  <si>
    <t xml:space="preserve">758 Różne rozliczenia </t>
  </si>
  <si>
    <t xml:space="preserve">                      S U B W E N C J E </t>
  </si>
  <si>
    <t xml:space="preserve">pozostałe odsetki  - odsetki na rachunkach bankowych </t>
  </si>
  <si>
    <t xml:space="preserve">subwencje ogólne z budżetu państwa - część równoważąca </t>
  </si>
  <si>
    <t xml:space="preserve">852 Pomoc społeczna </t>
  </si>
  <si>
    <t>O830</t>
  </si>
  <si>
    <t xml:space="preserve">wpływy z usług opiekuńczych </t>
  </si>
  <si>
    <t>DOTACJE NA ZADANIA ZLECONE Z ZAKRESU ADMINISTRACJI RZĄDOWEJ</t>
  </si>
  <si>
    <t xml:space="preserve">750 Administracja publiczna </t>
  </si>
  <si>
    <t>751 Urzędy nacz.organów władzy państwowej, kontroli i ochrony prawa oraz sądownictwa</t>
  </si>
  <si>
    <t>754 Bezpieczeństwo publiczne i ochrona p.pożarowa</t>
  </si>
  <si>
    <t xml:space="preserve">subwencje ogólne z budżetu  państwa - część oświatowa </t>
  </si>
  <si>
    <t>DOTACJE Z BUDŻETU PAŃSTWA NA ZADANIA WŁASNE</t>
  </si>
  <si>
    <t>wpływy z opłat za zezwolenia na sprzedaż alkoholu</t>
  </si>
  <si>
    <t>dotacje celowe otrzymane z budżetu państwa na realizację zadań bieżących z zakresu administracji rządowej - dofin. do kosztów wynagrodzenia</t>
  </si>
  <si>
    <t>dotacje celowe otrzymane z budżetu państwa na realizację zadań bieżących z zakresu administracji rządowej na bieżącą akualizację spisów wyborców</t>
  </si>
  <si>
    <t xml:space="preserve">dotacje celowe otrzymane z budżetu państwa na realizację zadań bieżących z zakresu administracji rządowej -  składki na ubezpieczenia zdrowotne </t>
  </si>
  <si>
    <t>dotacje celowe otrzymane z budżetu państwa na realizację zadań bieżących z zakresu administracji rządowej na zasiłki i pomoc w naturze</t>
  </si>
  <si>
    <t>dotacja z budżetu państwa na realizację własnych zadań - zasiłki i pomoc w naturze</t>
  </si>
  <si>
    <t>dotacja z budżetu państwa na realizację własnych zadań - dofin. do kosztów utrzymania MGOPS</t>
  </si>
  <si>
    <t xml:space="preserve">dotacja z budżetu państwa na realizację własnych zadań - pomoc w zakresie dożywiania </t>
  </si>
  <si>
    <t xml:space="preserve">dotacje celowe otrzymane z budżetu państwa na realizację zadań bieżących z zakresu administracji rządowej finansowanie zasiłków rodzinnych i zaliczki alimentacyjnej </t>
  </si>
  <si>
    <t>Rolnictwo i łowiectwo</t>
  </si>
  <si>
    <t>Melioracje wodne</t>
  </si>
  <si>
    <t>składki na rzecz spółek wodnych</t>
  </si>
  <si>
    <t xml:space="preserve">Izby rolnicze </t>
  </si>
  <si>
    <t>wpłaty gmin na rzecz izb rolniczych</t>
  </si>
  <si>
    <t>Transport i łączność</t>
  </si>
  <si>
    <t xml:space="preserve">zakup usług komunikacji miejskiej </t>
  </si>
  <si>
    <t>Lokalny transport zbiorowy</t>
  </si>
  <si>
    <t>Drogi publiczne gminne</t>
  </si>
  <si>
    <t>DOCHODY OGÓŁEM</t>
  </si>
  <si>
    <t>remont nawierzchni dróg i ulic</t>
  </si>
  <si>
    <t>rekultywacja dróg gminnych</t>
  </si>
  <si>
    <t>oznakowanie poziome i pionowe</t>
  </si>
  <si>
    <t>utrzymanie dróg w okresie zimy</t>
  </si>
  <si>
    <t>podatek od działalności gospodarczej osób fizycznych opłacany w formie karty podatkowej</t>
  </si>
  <si>
    <t>Gospodarka mieszkaniowa</t>
  </si>
  <si>
    <t>opracowanie planów zagospodarowania przestrzennego</t>
  </si>
  <si>
    <t xml:space="preserve">Gospodarka  gruntami i nieruchomościami </t>
  </si>
  <si>
    <t>opłaty notarialane i sądowe</t>
  </si>
  <si>
    <t>podziały geodezyjne</t>
  </si>
  <si>
    <t xml:space="preserve">usługi geodezyjne </t>
  </si>
  <si>
    <t xml:space="preserve">wyceny nieruchomości </t>
  </si>
  <si>
    <t>przygotowanie gruntów do sprzedaży</t>
  </si>
  <si>
    <t>opłaty za wyłączenie gruntów z produkcji rolnej</t>
  </si>
  <si>
    <t>opłaty za użytkowanie wieczyste</t>
  </si>
  <si>
    <t>Pozostała działalność</t>
  </si>
  <si>
    <t>remonty gminnych zasobów mieszkaniowych</t>
  </si>
  <si>
    <t>koszty utrzymania zasobów mieszkaniowych</t>
  </si>
  <si>
    <t xml:space="preserve">remonty wiat przystankowych </t>
  </si>
  <si>
    <t xml:space="preserve">wpłaty na fundusz remontowy wspólnot </t>
  </si>
  <si>
    <t>wydatki inwestycyjne :</t>
  </si>
  <si>
    <t>budowa budynku socjalnego</t>
  </si>
  <si>
    <t>zakup urządzeń na wyposażenie placów zabaw</t>
  </si>
  <si>
    <t xml:space="preserve">Administracja publiczna </t>
  </si>
  <si>
    <t xml:space="preserve">diety radnych </t>
  </si>
  <si>
    <t>pozostałe koszty utrzymania Biura RM</t>
  </si>
  <si>
    <t>Urzędy gmin ( miast i miast na prawach powiatu)</t>
  </si>
  <si>
    <t xml:space="preserve">koszty utrzymania Urzędu M i G </t>
  </si>
  <si>
    <t xml:space="preserve">komputeryzacja Urzędu M i G </t>
  </si>
  <si>
    <t>Promocja jednostek samorządu terytorialnego</t>
  </si>
  <si>
    <t xml:space="preserve">koszty  promocji gminy </t>
  </si>
  <si>
    <t>Pobór podatków,opłat i nieopodatkowanych należności</t>
  </si>
  <si>
    <t xml:space="preserve">koszty poboru podatków </t>
  </si>
  <si>
    <t>Obsługa długu publicznego</t>
  </si>
  <si>
    <t xml:space="preserve">Obsługa papierów wartościowych, kredytów i pożyczek </t>
  </si>
  <si>
    <t xml:space="preserve">Różne rozliczenia </t>
  </si>
  <si>
    <t>Rezerwy ogólne i celowe</t>
  </si>
  <si>
    <t xml:space="preserve">rezerwa na zadania oświatowe </t>
  </si>
  <si>
    <t xml:space="preserve">rezerwa na wspieranie inicjatyw samorządów wsi i osiedli </t>
  </si>
  <si>
    <t xml:space="preserve">Oświata i wychowanie </t>
  </si>
  <si>
    <t>Szkoły podstawowe</t>
  </si>
  <si>
    <t xml:space="preserve">koszty utrzymania szkół podstawowych </t>
  </si>
  <si>
    <t xml:space="preserve">w tym : </t>
  </si>
  <si>
    <t>PSP 3</t>
  </si>
  <si>
    <t xml:space="preserve">PSP Minkowice </t>
  </si>
  <si>
    <t xml:space="preserve">PSP Miłoszyce </t>
  </si>
  <si>
    <t>PSP Wójcice</t>
  </si>
  <si>
    <t xml:space="preserve">PSP 2 </t>
  </si>
  <si>
    <t xml:space="preserve">PSP 3 </t>
  </si>
  <si>
    <t xml:space="preserve">Gimnazja </t>
  </si>
  <si>
    <t xml:space="preserve">w tym: </t>
  </si>
  <si>
    <t xml:space="preserve">PG 1 </t>
  </si>
  <si>
    <t xml:space="preserve">PG 2 </t>
  </si>
  <si>
    <t xml:space="preserve">PG Minkowice </t>
  </si>
  <si>
    <t>Dowożenie uczniów do szkół</t>
  </si>
  <si>
    <t>(koszty dowożenia uczniów)</t>
  </si>
  <si>
    <t xml:space="preserve">Zespoły obsługi ekonomiczno-administracyjnej szkół </t>
  </si>
  <si>
    <t xml:space="preserve">  </t>
  </si>
  <si>
    <t>(koszty  utrzymania ZEA)</t>
  </si>
  <si>
    <t xml:space="preserve">Przedszkola </t>
  </si>
  <si>
    <t>dotacja do kosztów utrzymania niepublicznych przedszkoli</t>
  </si>
  <si>
    <t>dotacja dla ZUST przy ZEA</t>
  </si>
  <si>
    <t xml:space="preserve">Ochrona zdrowia </t>
  </si>
  <si>
    <t xml:space="preserve">Lecznictwo ambulatoryjne </t>
  </si>
  <si>
    <t>Bezpieczeństwo publiczne i ochrona przeciwpożarowa</t>
  </si>
  <si>
    <t xml:space="preserve">Komendy wojewódzkie Policji </t>
  </si>
  <si>
    <t xml:space="preserve">finansowe wsparcie </t>
  </si>
  <si>
    <t xml:space="preserve">Ochotnicze straże pożarne </t>
  </si>
  <si>
    <t>Obrona cywilna</t>
  </si>
  <si>
    <t>Zwalczanie narkomanii</t>
  </si>
  <si>
    <t>Przeciwdziałanie alkoholizmowi</t>
  </si>
  <si>
    <t xml:space="preserve">Pomoc społeczna </t>
  </si>
  <si>
    <t xml:space="preserve">Domy pomocy społecznej </t>
  </si>
  <si>
    <t>( koszty opłat za pobyt w DPS)</t>
  </si>
  <si>
    <t>Towarzystwa budownictwa społecznego</t>
  </si>
  <si>
    <t xml:space="preserve">zakup i objęcie akcji </t>
  </si>
  <si>
    <t>Edukacyjna opieka wychowawcza</t>
  </si>
  <si>
    <t xml:space="preserve">Świetlice szkolne </t>
  </si>
  <si>
    <t xml:space="preserve">świetlica w PG 1 </t>
  </si>
  <si>
    <t xml:space="preserve">świetlica w SP Minkowice </t>
  </si>
  <si>
    <t xml:space="preserve">świetlica w PSP 2 </t>
  </si>
  <si>
    <t>świetlica  w  PSP 3</t>
  </si>
  <si>
    <t xml:space="preserve">świetlica w PSP Miłoszyce </t>
  </si>
  <si>
    <t>świetlica w PSP Wójcice</t>
  </si>
  <si>
    <t>Kolonie i obozy oraz inne formy wypoczynku dzieci i młodzieży</t>
  </si>
  <si>
    <t>(koszty organizacji wypoczynku)</t>
  </si>
  <si>
    <t xml:space="preserve">Gospodarka komunalna i ochrona środowiska </t>
  </si>
  <si>
    <t>Gospodarka ściekowa i ochrona wód</t>
  </si>
  <si>
    <t>remonty kanalizacji burzowej</t>
  </si>
  <si>
    <t>konserwacja kanalizacji burzowej</t>
  </si>
  <si>
    <t>utrzymanie przepompowni wód opadowych</t>
  </si>
  <si>
    <t xml:space="preserve">budowa kanalizacji sanitarnej w Chwałowicach i Dębinie </t>
  </si>
  <si>
    <t>Zasiłki i pomoc w naturze</t>
  </si>
  <si>
    <t>Dodatki mieszkaniowe</t>
  </si>
  <si>
    <t xml:space="preserve">Ośrodki pomocy społecznej </t>
  </si>
  <si>
    <t>(koszty utrzymania MGOPS)</t>
  </si>
  <si>
    <t>Usługi opiekuńcze</t>
  </si>
  <si>
    <t>(koszty usług opiekuńczych)</t>
  </si>
  <si>
    <t>(koszty pomocy w dożywianiu)</t>
  </si>
  <si>
    <t>Oczyszczanie miast i wsi</t>
  </si>
  <si>
    <t>Utrzymanie zieleni w mieście i gminie</t>
  </si>
  <si>
    <t>Schroniska dla zwierząt</t>
  </si>
  <si>
    <t xml:space="preserve">( koszty opieki nad bezpańskimi zwierzętami) </t>
  </si>
  <si>
    <t>Oświetlenie ulic, placów i dróg</t>
  </si>
  <si>
    <t xml:space="preserve"> koszty oświetlenia ulicznego </t>
  </si>
  <si>
    <t>uzupełnienie oświetlenia ulicznego</t>
  </si>
  <si>
    <t>budowa oświetlenia w Chwałowicach</t>
  </si>
  <si>
    <t>koszty utrzymania Targowiska</t>
  </si>
  <si>
    <t>Kultura i ochrona dziedzictwa narodowego</t>
  </si>
  <si>
    <t>Pozostałe zadania w zakresie kultury</t>
  </si>
  <si>
    <t>Pozostała działaność</t>
  </si>
  <si>
    <t xml:space="preserve">Biblioteki </t>
  </si>
  <si>
    <t>dotacja dla instytucji kultury - Biblioteki</t>
  </si>
  <si>
    <t xml:space="preserve">Ochrona zabytków i opieka nad zabytkami </t>
  </si>
  <si>
    <t>Kultura fizyczna i sport</t>
  </si>
  <si>
    <t>Obiekty sportowe</t>
  </si>
  <si>
    <t>dotacja dla Pływalni Miejskiej</t>
  </si>
  <si>
    <t>Zadania w zakresie kultury fizycznej i sportu</t>
  </si>
  <si>
    <t>dotacje na zadania :</t>
  </si>
  <si>
    <t>prowadzenia zajęć w zakresie kolarstwa</t>
  </si>
  <si>
    <t>organizację treningów i zawodów strzeleckich</t>
  </si>
  <si>
    <t>prowadzenie zajęć w zakresie  tenisa</t>
  </si>
  <si>
    <t>prowadzenie zajęć modelarskich z młodzieżą</t>
  </si>
  <si>
    <t>prowadzenie zajęć w zakresie piłki siatkowej</t>
  </si>
  <si>
    <t>koszty organizacji Dnia Dziecka</t>
  </si>
  <si>
    <t>WYDATKI Z ZAKRESU ADMINISTRACJI RZĄDOWEJ I INNE ZLECONE USTAWAMI</t>
  </si>
  <si>
    <t xml:space="preserve">Urzędy wojewódzkie </t>
  </si>
  <si>
    <t xml:space="preserve">dofinansowanie do kosztów wynagrodzenia  </t>
  </si>
  <si>
    <t xml:space="preserve">Urzędy nacz.organów władzy państwowej ,kontroli i ochrony prawa  </t>
  </si>
  <si>
    <t>( materiały i szkolenia)</t>
  </si>
  <si>
    <t xml:space="preserve">Obrona cywilna </t>
  </si>
  <si>
    <t>Zasiłki i pomoc w naturze oraz składki na ubezp. emerytalne i rentowe</t>
  </si>
  <si>
    <t>ZADANIA REALIZOWANE NA PODSTAWIE  POROZUMIEŃ Z ADMINISTRACJĄ RZĄDOWĄ</t>
  </si>
  <si>
    <t xml:space="preserve">Działalność usługowa </t>
  </si>
  <si>
    <t>Cmentarze - utrzymanie mogiły wojennej</t>
  </si>
  <si>
    <t xml:space="preserve">Ogółem wydatki </t>
  </si>
  <si>
    <t>koszty realizacji zadań w zakresie zwalczania narkomanii</t>
  </si>
  <si>
    <t>koszty realizacji Gminnego Programu Rozwiązywania problemów alkoholowych</t>
  </si>
  <si>
    <t>koszty remontów i utrzymania  obiektów kultury</t>
  </si>
  <si>
    <t>wydatki inwestycyjne</t>
  </si>
  <si>
    <t xml:space="preserve">wydatki inwestycyjne </t>
  </si>
  <si>
    <t>ogółem:</t>
  </si>
  <si>
    <t xml:space="preserve">   </t>
  </si>
  <si>
    <t>ZUST przy ZEA - Gosp.pomocnicze</t>
  </si>
  <si>
    <t xml:space="preserve">dopłata do kosztów utrzymania stołówek szkolnych </t>
  </si>
  <si>
    <t>Pływalnia Miejska - Zakł.budż.</t>
  </si>
  <si>
    <t xml:space="preserve">Przedszkole Niepubliczne przy ul.Liliowej w Jelczu-Laskowicach </t>
  </si>
  <si>
    <t xml:space="preserve">Przedszkole Niepubliczne w Minkowicach </t>
  </si>
  <si>
    <t xml:space="preserve">Biblioteka Miejska w Jelczu-Laskowicach </t>
  </si>
  <si>
    <t xml:space="preserve">Prowadzenie masowych zajęć sportowych z  młodzieżą gminy </t>
  </si>
  <si>
    <t xml:space="preserve">Prowadzenie zajęć sportowych z młodzieżą w zakresie kolarstwa </t>
  </si>
  <si>
    <t>Prowadzenie zajęć w zakresie modelarstwa z młodzieżą</t>
  </si>
  <si>
    <t xml:space="preserve">Prowadzenie zajęć sportowych z młodzieżą szkolną ( SZS) </t>
  </si>
  <si>
    <t xml:space="preserve">Prowadzenie zajęć sportowych z młodzieżą szkolną ( UKS Dwójka) </t>
  </si>
  <si>
    <t>Prowadzenie zajęć sportowych w zakresie piłki siatkowej z młodzieżą</t>
  </si>
  <si>
    <t xml:space="preserve">Organizacja treningów i zawodów strzeleckich </t>
  </si>
  <si>
    <t>przelewy z Urzędu Marszałkowskiego</t>
  </si>
  <si>
    <t xml:space="preserve">wpływy z różnych opłat </t>
  </si>
  <si>
    <t xml:space="preserve">w tym na : </t>
  </si>
  <si>
    <t xml:space="preserve">edukacja ekologiczna </t>
  </si>
  <si>
    <t xml:space="preserve">gospodarka wodno - ściekowa </t>
  </si>
  <si>
    <t>utrzymanie terenów zieleni,zadrzewień i zakrzewień oraz parków</t>
  </si>
  <si>
    <t xml:space="preserve">gospodarka odpadami i ochrona powierzchni ziemi </t>
  </si>
  <si>
    <t>wspomaganie systemów gromdzenia i przetwarzania danych związanych z dostępem do informacji o środowisku</t>
  </si>
  <si>
    <t xml:space="preserve">Pływalnia Miejska </t>
  </si>
  <si>
    <t>Gospodarstwo Pomocnicze przy Urzędzie Miasta i Gminy</t>
  </si>
  <si>
    <t>ZUST przy ZEA</t>
  </si>
  <si>
    <t xml:space="preserve">Publiczne Gimnazjum nr 1 </t>
  </si>
  <si>
    <t xml:space="preserve">Publiczne Gimnazjum nr 2 </t>
  </si>
  <si>
    <t xml:space="preserve">Zespół PSP i PG Minkowice </t>
  </si>
  <si>
    <t xml:space="preserve">PSP nr 2 </t>
  </si>
  <si>
    <t xml:space="preserve">PSP nr 3 </t>
  </si>
  <si>
    <t xml:space="preserve">PSP Wójcice </t>
  </si>
  <si>
    <t>ZEA w Jelczu-Laskowicach</t>
  </si>
  <si>
    <t>Prowadzenie zajęć sportowych w zakresie pływania z młodzieżą</t>
  </si>
  <si>
    <t>Prowadzenie zajęć sportowych w zakresie tenisa stołowego z młodzieżą</t>
  </si>
  <si>
    <r>
      <t xml:space="preserve">spłaty zadłużenia po uwzględnieniu wyłączeń </t>
    </r>
    <r>
      <rPr>
        <sz val="11"/>
        <rFont val="Arial"/>
        <family val="2"/>
      </rPr>
      <t xml:space="preserve">(art. 169 ust. 3)       </t>
    </r>
  </si>
  <si>
    <t>zakup infrastruktury technicznej w podstrefie WSSE</t>
  </si>
  <si>
    <t xml:space="preserve">rezerwa ogólna </t>
  </si>
  <si>
    <t xml:space="preserve">Dochody związane z realizacją zadań z zakresu administracji rządowej podlegające przekazaniu do budżetu państwa </t>
  </si>
  <si>
    <t xml:space="preserve">prowadzenie zajęć w zakresie pływania </t>
  </si>
  <si>
    <t>Drogi publiczne powiatowe</t>
  </si>
  <si>
    <t xml:space="preserve">koszty  utrzymania OSP </t>
  </si>
  <si>
    <t xml:space="preserve">Szpitale ogólne </t>
  </si>
  <si>
    <t xml:space="preserve">Pomoc dla powiatu na restrukturyzację szpitala  </t>
  </si>
  <si>
    <t>Pomoc dla Starostwa Powiatowego w restrukturyzacji szpitala</t>
  </si>
  <si>
    <r>
      <t xml:space="preserve">Zobowiązania wg tytułów dłużnych: </t>
    </r>
    <r>
      <rPr>
        <sz val="12"/>
        <rFont val="Arial"/>
        <family val="2"/>
      </rPr>
      <t>(1.1+1.2+1.3)</t>
    </r>
  </si>
  <si>
    <r>
      <t xml:space="preserve">długu </t>
    </r>
    <r>
      <rPr>
        <sz val="12"/>
        <rFont val="Arial"/>
        <family val="2"/>
      </rPr>
      <t xml:space="preserve">(art. 170 ust. 1)         </t>
    </r>
  </si>
  <si>
    <r>
      <t xml:space="preserve">spłaty zadłużenia   </t>
    </r>
    <r>
      <rPr>
        <sz val="12"/>
        <rFont val="Arial"/>
        <family val="2"/>
      </rPr>
      <t>(art. 169 ust. 1</t>
    </r>
    <r>
      <rPr>
        <b/>
        <sz val="12"/>
        <rFont val="Arial"/>
        <family val="2"/>
      </rPr>
      <t xml:space="preserve">)       </t>
    </r>
  </si>
  <si>
    <t>kredyty,
pożyczki i
 obligacje</t>
  </si>
  <si>
    <t>UMiG</t>
  </si>
  <si>
    <t>Budowa budynku socjalnego</t>
  </si>
  <si>
    <t>kredyty, pożyczki i obligacje</t>
  </si>
  <si>
    <t xml:space="preserve"> Razem wydatki :</t>
  </si>
  <si>
    <t>010</t>
  </si>
  <si>
    <t>przebudowa Al. Wolności</t>
  </si>
  <si>
    <t>remont Pałacu</t>
  </si>
  <si>
    <t>Centra kultury i sztuki</t>
  </si>
  <si>
    <t>stypendia dla uczniów</t>
  </si>
  <si>
    <t>inwestycje</t>
  </si>
  <si>
    <t>utwardzenie nawierzchni targowiska - projekt</t>
  </si>
  <si>
    <t>odsetki od kredytu BGK</t>
  </si>
  <si>
    <t>prewencja chorób cywilizacyjnych</t>
  </si>
  <si>
    <t>odsetki od kredytu krótkoterminowego</t>
  </si>
  <si>
    <t>odsetki od spłaty zobowiązań wobec WSSE</t>
  </si>
  <si>
    <t xml:space="preserve">odsetki od emisji oblig. komunalnych </t>
  </si>
  <si>
    <t>rezerwa na ochronę i konserwację Zabytków</t>
  </si>
  <si>
    <t xml:space="preserve">Jednostki specjal. poradnictwa, mieszkania chronione </t>
  </si>
  <si>
    <t>koszty opłat za mieszkania chronione</t>
  </si>
  <si>
    <t>%</t>
  </si>
  <si>
    <t>5 : 4</t>
  </si>
  <si>
    <t>dynamika</t>
  </si>
  <si>
    <t xml:space="preserve">remonty gminnych obiektów </t>
  </si>
  <si>
    <t>koszty kształcenia uczniów - pracodawcy</t>
  </si>
  <si>
    <t xml:space="preserve">Komendy powiatowe Policji </t>
  </si>
  <si>
    <t>remonty:</t>
  </si>
  <si>
    <t>SPŁATA KREDYTÓW I POŻYCZEK</t>
  </si>
  <si>
    <t>RAZEM WYDATKI I ROZCHODY</t>
  </si>
  <si>
    <t>prowadzenie zajęć sportowych z młodzieżą szkolną</t>
  </si>
  <si>
    <t>utrzymanie lokali socjalnych i odszkodowania za zajmowane lokale</t>
  </si>
  <si>
    <t>DOCHODY</t>
  </si>
  <si>
    <t>DOCHODY  BIEŻĄCE</t>
  </si>
  <si>
    <t>wpływy z innych lokalnych opłat pobieranych przez j.s.t na podstawie odrębnych ustaw</t>
  </si>
  <si>
    <t>DOCHODY MAJĄTKOWE</t>
  </si>
  <si>
    <t xml:space="preserve">700 Gospodarka mieszkaniowa </t>
  </si>
  <si>
    <t xml:space="preserve">wpływy z tyt. przekształcenia prawa użytkowania wieczystego nieruchomości </t>
  </si>
  <si>
    <t xml:space="preserve">sprzedaż lub oddanie w użytkowanie wieczyste nieruchomości przeznaczonych pod zabudowę </t>
  </si>
  <si>
    <t>DOTACJE REALIZOWANE NA PODSTAWIE POROZUMIEŃ Z ADMINISTRACJĄ RZĄDOWĄ</t>
  </si>
  <si>
    <t>710 Działalność usługowa</t>
  </si>
  <si>
    <t xml:space="preserve">Dotacje celowe z budżetu państwa na zadania własne- utrzymanie mogił wojennych </t>
  </si>
  <si>
    <t>756 Dochody od osób prawnych,od osób fiz. i od innych jedn.nieposiadaj. osobowosci 
       prawnej oraz wydatki związane z ich poborem</t>
  </si>
  <si>
    <t>rezerwa na zarządzanie kryzysowe</t>
  </si>
  <si>
    <t xml:space="preserve">   zagraniczne</t>
  </si>
  <si>
    <t xml:space="preserve">801 Oświata i wychowanie </t>
  </si>
  <si>
    <t xml:space="preserve">dotacje z budżetu państwa na realizację własnych zadań </t>
  </si>
  <si>
    <t>Kwota długu na dzień 31.12.2007</t>
  </si>
  <si>
    <t>Kwota</t>
  </si>
  <si>
    <t>wspieranie wykorzystania lokalnych źródeł energii odnawialnej</t>
  </si>
  <si>
    <t xml:space="preserve">Prognozowane wydatki budżetowe </t>
  </si>
  <si>
    <t>pozostałe wydatki ( materiały i usługi) związane z ochroną środowiska</t>
  </si>
  <si>
    <t>p.w.2008 r.</t>
  </si>
  <si>
    <t>Dochody budżetu gminy na 2009 r.</t>
  </si>
  <si>
    <t>zgm</t>
  </si>
  <si>
    <t>O770</t>
  </si>
  <si>
    <t xml:space="preserve">Wpłaty z tytułu odpłatnego nabycia prawa własności oraz prawa użytkowania wieczystego nieruchomości, w tym : </t>
  </si>
  <si>
    <t>Rekompensaty utraconych dochodów w podatkach i opłatach lokalnych</t>
  </si>
  <si>
    <t>Dotacje celowe otrzymane z gminy na zadania bieżące realizowane na podstawie porozumień (umów) między jednostkami samorządu terytorialnego</t>
  </si>
  <si>
    <t>Przewid wyk
za 2008 r.</t>
  </si>
  <si>
    <t>budowa sieci szerokopasmowej</t>
  </si>
  <si>
    <t>wydatki bieżące</t>
  </si>
  <si>
    <t>koszty organizacji imprez kulturalnych</t>
  </si>
  <si>
    <t>dotacje na remonty i konserwacje</t>
  </si>
  <si>
    <t>RAZEM WYDATKI Z ZAKRESU ADMINISTRACJI RZĄDOWEJ I INNE ZLECONE USTAWAMI</t>
  </si>
  <si>
    <t>RAZEM WYDATKI NA ZADANIA WŁASNE</t>
  </si>
  <si>
    <t>Wynagrodzenia
i pochodne od 
wynagrodzeń</t>
  </si>
  <si>
    <t>wykupy nieruchomości</t>
  </si>
  <si>
    <t>remont ul. Bożka</t>
  </si>
  <si>
    <t>remont ul. Tańskiego III etap</t>
  </si>
  <si>
    <t>budowa dróg na oś. domków jednorodz.</t>
  </si>
  <si>
    <t>budowa ul. Prusa - projekt</t>
  </si>
  <si>
    <t>budowa ul. Kościelnej w Miłoszycach</t>
  </si>
  <si>
    <t>budowa kanalizacji sanitarnej w Dziuplinie</t>
  </si>
  <si>
    <t>rewitalizacja boiska przy PSP nr 2</t>
  </si>
  <si>
    <t>projekt budowy hali sportowej</t>
  </si>
  <si>
    <t>budowa boiska w Miłoszycach</t>
  </si>
  <si>
    <t>rozbudowa remizy w Wójcicach</t>
  </si>
  <si>
    <t>modernizacja chodników, alejek (LPR)</t>
  </si>
  <si>
    <t xml:space="preserve">Świadczenia rodzinne, zaliczka alimentacyjna oraz składki na ubezpieczenia </t>
  </si>
  <si>
    <t>dofinansowanie remontu wiaduktu J-L</t>
  </si>
  <si>
    <t>(zadania w zakresie aktualizacji spisów wyborców)</t>
  </si>
  <si>
    <t>Rady gmin (miast i miast na prawach powiatu)</t>
  </si>
  <si>
    <t xml:space="preserve">Urzędy nacz.organów władzy państwowej, kontroli i ochrony prawa oraz sądownictwa </t>
  </si>
  <si>
    <t>Składki na ubezpieczenia zdrowotne opłacane za ososby pobierające świadczenia z pomocy społecznej</t>
  </si>
  <si>
    <t>Oddziały przedszkolne w szkołach podstawowych</t>
  </si>
  <si>
    <t>prowadzenie masowych zajęć sportowych z młodzieżą</t>
  </si>
  <si>
    <t>Wydatki 
na obsługę długu</t>
  </si>
  <si>
    <t>koszty realizacji zadań Gminnego Zespołu Reagowania</t>
  </si>
  <si>
    <t>Dochody od osób prawnych, od osób fizycznych i od innych jednostek organizacyjnych</t>
  </si>
  <si>
    <t>PG1</t>
  </si>
  <si>
    <t>PG2</t>
  </si>
  <si>
    <t>PG Minkow</t>
  </si>
  <si>
    <t>PSP nr 2</t>
  </si>
  <si>
    <t>PSP nr 3</t>
  </si>
  <si>
    <t>PSP Miłoszyce</t>
  </si>
  <si>
    <t>urządzenie placu zabaw (oś. Fabryczne LPR)</t>
  </si>
  <si>
    <t xml:space="preserve">dochody z najmu i dzierżawy składników majątkowych jednostek samorządu terytorialnego, 
w tym : </t>
  </si>
  <si>
    <t>Wydatki budżetu gminy na  2009 r.</t>
  </si>
  <si>
    <t>(remonty)</t>
  </si>
  <si>
    <t xml:space="preserve">F. Ś. Socjalnych nauczycieli - emerytów i rencistów </t>
  </si>
  <si>
    <t>Część równoważąca subwencji ogólnej dla gmin</t>
  </si>
  <si>
    <t>Wpłaty jednostek samorządu terytorialnego do budżetu państwa</t>
  </si>
  <si>
    <t>wynagr. bezosobowe czł. Kom. Urbanistyczno-Architek.</t>
  </si>
  <si>
    <t>oprac. proj. o war. zabudowy inewstycji celu publicznego</t>
  </si>
  <si>
    <t xml:space="preserve">komisja kwalifik. awansu zawodowego nauczycieli </t>
  </si>
  <si>
    <t>KREDYT</t>
  </si>
  <si>
    <t>SALDO (dochody - wydatki + kredyt)</t>
  </si>
  <si>
    <t>dotacje celowe otrzymane z budżetu państwa na realizację zadań bieżących z zakresu administracji rządowej-dofin. kosztów GZRK</t>
  </si>
  <si>
    <t>Kwota długu na dzień 31.12.2008</t>
  </si>
  <si>
    <r>
      <t xml:space="preserve">długu po uwzględnieniu wyłączeń </t>
    </r>
    <r>
      <rPr>
        <sz val="12"/>
        <rFont val="Arial"/>
        <family val="2"/>
      </rPr>
      <t>(art. 170 ust. 3)</t>
    </r>
  </si>
  <si>
    <t>modernizacja budynku klubu "OPTY" (LPR)</t>
  </si>
  <si>
    <t>2010 r.</t>
  </si>
  <si>
    <t>Zadania inwestycyjne w 2009 r.</t>
  </si>
  <si>
    <t>Limity wydatków na wieloletnie programy inwestycyjne w latach 2009 - 2011</t>
  </si>
  <si>
    <t>rok budżetowy 2009 (8+9+10+11)</t>
  </si>
  <si>
    <t>2011 r.</t>
  </si>
  <si>
    <t>wynagrodzenia i pochodne</t>
  </si>
  <si>
    <t>wynagrodzenia i pochodne od wynagrodzeń</t>
  </si>
  <si>
    <t>Dotacje przedmiotowe w 2009 r.</t>
  </si>
  <si>
    <t>Dochody i wydatki związane z realizacją zadań z zakresu administracji rządowej i innych zadań zleconych odrębnymi ustawami w 2009 r.</t>
  </si>
  <si>
    <t xml:space="preserve"> oraz dochodów i wydatków dochodów własnych jednostek budżetowych na 2009 r.</t>
  </si>
  <si>
    <t>Dotacje podmiotowe w 2009 r.</t>
  </si>
  <si>
    <t xml:space="preserve">Przedszkole Niepubliczne prz al. Wolności w Jelczu-Laskowicach </t>
  </si>
  <si>
    <t>Dochody i wydatki związane z realizacją zadań z zakresu administracji rządowej wykonywanych na podstawie porozumień z organami administracji rządowej w 2009 r.</t>
  </si>
  <si>
    <t>remonty obiektów + zajęcia rewalidacyjne</t>
  </si>
  <si>
    <t xml:space="preserve">dopłata do kosztów utrzymania Pływalni </t>
  </si>
  <si>
    <t>Gmine Centrum Kultury</t>
  </si>
  <si>
    <t>Pomoc dla Starostwa Powiatowego w remoncie wiaduktu w Jelcz-Laskowice</t>
  </si>
  <si>
    <t>Dotacje celowe na zadania własne gminy realizowane przez podmioty należące
i nienależące do sektora finansów publicznych w 2009 r.</t>
  </si>
  <si>
    <t>Budowa ul. Prusa - projekt</t>
  </si>
  <si>
    <t>Budowa ul. Kościelnej w Miłoszycach</t>
  </si>
  <si>
    <t>Budowa oświetlenia - Chwałowice</t>
  </si>
  <si>
    <t>załącznik nr 10</t>
  </si>
  <si>
    <t xml:space="preserve">Rozdział </t>
  </si>
  <si>
    <t>Paragraf</t>
  </si>
  <si>
    <t>Wpływy z różnych opłat w tym:</t>
  </si>
  <si>
    <t>Dotacje przekazane z funduszy celowych na realizację zadań bieżących dla jednostek niezaliczanych do sektora finansów publicznych</t>
  </si>
  <si>
    <t>Zakup materiałów i wyposażenia</t>
  </si>
  <si>
    <t>Zakup usług pozostałych</t>
  </si>
  <si>
    <t>unieszkodliwianie odpadów zawierającej azbest</t>
  </si>
  <si>
    <t>Plan na 2009 r.</t>
  </si>
  <si>
    <t>wspieranie budowy oczyszczalni przydomowych i przyłączy do kanalizacji sanitarnej</t>
  </si>
  <si>
    <t>Ochrony Środowiska i Gospodarki Wodnej na 2009 rok</t>
  </si>
  <si>
    <t>Klasyfikacja §</t>
  </si>
  <si>
    <t>załącznik nr 6</t>
  </si>
  <si>
    <t>załącznik nr 7</t>
  </si>
  <si>
    <t>załącznik nr 8</t>
  </si>
  <si>
    <t>załącznik nr 9</t>
  </si>
  <si>
    <t>załącznik nr 11</t>
  </si>
  <si>
    <t xml:space="preserve">Prognoza kwoty długu i spłat na rok 2009 i lata następne </t>
  </si>
  <si>
    <t>załącznik nr 13</t>
  </si>
  <si>
    <t>Budowa boiska na Os. Fabrycznym (LPR)</t>
  </si>
  <si>
    <r>
      <t xml:space="preserve">rok budżetowy 2009 </t>
    </r>
    <r>
      <rPr>
        <b/>
        <sz val="10"/>
        <rFont val="Arial CE"/>
        <family val="0"/>
      </rPr>
      <t>(7+8+9+10)</t>
    </r>
  </si>
  <si>
    <t>Program:RPO 2007-2013</t>
  </si>
  <si>
    <t>Priorytet 3: Rozwój infrastruktury transportowej na Dolnym Śląsku</t>
  </si>
  <si>
    <t>Działanie:Infrastruktura drogowa</t>
  </si>
  <si>
    <t>z tego: 2009 r.</t>
  </si>
  <si>
    <t>2012 r.***</t>
  </si>
  <si>
    <t>Program: RPO 2007-2013</t>
  </si>
  <si>
    <t>Priorytet: Odnowa zdegradowanych obszarów miejskich na terenie Dolnego Śląska</t>
  </si>
  <si>
    <t>Działanie: Odnowa zdegradowanych obszarów miejskich w miastach powyżej 10 tysięcy mieszkańców</t>
  </si>
  <si>
    <t>Nazwa projektu: Modernizacja chodników, alejek (LPR)</t>
  </si>
  <si>
    <t>Nazwa projektu: Modernizacja budynku klubu "OPTY" (LPR)</t>
  </si>
  <si>
    <t>1.4</t>
  </si>
  <si>
    <t>Nazwa projektu: Urządzenie placu zabaw (Oś. Fabryczne LPR)</t>
  </si>
  <si>
    <t>1.5</t>
  </si>
  <si>
    <t>Nazwa projektu:Wdrożenie systemu monitoringu (LPR)</t>
  </si>
  <si>
    <t>1.6</t>
  </si>
  <si>
    <t>Nazwa projektu:Budowa boiska na Os. Fabrycznym (LPR)</t>
  </si>
  <si>
    <t>1.7</t>
  </si>
  <si>
    <t>Nazwa projektu: Modernizacja oświetlenia na Os. Fabrycznym (LPR)</t>
  </si>
  <si>
    <t xml:space="preserve">Program: </t>
  </si>
  <si>
    <t xml:space="preserve">Priorytet: </t>
  </si>
  <si>
    <t xml:space="preserve">Działanie: </t>
  </si>
  <si>
    <t>1.8</t>
  </si>
  <si>
    <t>Nazwa projektu:Budowa sieci szerokopasmowej</t>
  </si>
  <si>
    <t>1.9</t>
  </si>
  <si>
    <t>Nazwa projektu: Termomodernizacja budynków na ul. Techników nr 19-21 oraz nr 23-27 (LPR)</t>
  </si>
  <si>
    <t>Nazwa projektu: Termomodernizacja budynku na ul. Techników nr 22-24 (LPR)</t>
  </si>
  <si>
    <t>1.10</t>
  </si>
  <si>
    <t>Nazwa projektu: Termomodernizacja budynku na ul. Techników nr 29 oraz nr 29A (LPR)</t>
  </si>
  <si>
    <t>1.11</t>
  </si>
  <si>
    <t>Nazwa projektu: Termomodernizacja budynków na ul. Techników nr 3 oraz nr 5 (LPR)</t>
  </si>
  <si>
    <t>1.12</t>
  </si>
  <si>
    <t>przebudowa ul.Techników I etap</t>
  </si>
  <si>
    <t>Przebudowa ul.Techników I etap</t>
  </si>
  <si>
    <t xml:space="preserve">Nazwa projektu: Przebudowa ul. Techników </t>
  </si>
  <si>
    <t>§ 265, 266</t>
  </si>
  <si>
    <t>Planowane w roku budżetowym 
(bez prefinansowania):</t>
  </si>
  <si>
    <t>odsetki od kredytu z BOŚ - I</t>
  </si>
  <si>
    <t>odsetki od kredytu z BOŚ - II</t>
  </si>
  <si>
    <t>odsetki od planowanej pożyczki WFOŚ</t>
  </si>
  <si>
    <t>dotacja dla instytucji kultury - MGCK</t>
  </si>
  <si>
    <t xml:space="preserve">załącznik nr 4 </t>
  </si>
  <si>
    <t xml:space="preserve">załącznik nr 12                                 </t>
  </si>
  <si>
    <t>Przebudowa Al. Wolności</t>
  </si>
  <si>
    <t>Komputeryzacja Urzędu MiG</t>
  </si>
  <si>
    <t>Rozbudowa remizy w Wójcicach</t>
  </si>
  <si>
    <t>Utwardzenie nawierzchni targowiska - projekt</t>
  </si>
  <si>
    <t>Budowa boiska przy ul. Hirszfelda - projekt</t>
  </si>
  <si>
    <t>Budowa boiska w Miłoszycach</t>
  </si>
  <si>
    <t>Przebudowa Al.. Wolności</t>
  </si>
  <si>
    <t>Bud. Kanalizacji sanitarnej w Dziuplinie</t>
  </si>
  <si>
    <t>Przebudowa ul. Techników I etap</t>
  </si>
  <si>
    <t>budowa boiska przy ul. Hirszfelda - projekt</t>
  </si>
  <si>
    <t>boś</t>
  </si>
  <si>
    <t>BGK</t>
  </si>
  <si>
    <t>bgk</t>
  </si>
  <si>
    <t>wfos</t>
  </si>
  <si>
    <t>boś -5mln</t>
  </si>
  <si>
    <t>kredyt 4mln</t>
  </si>
  <si>
    <t>Plan 2009 r.</t>
  </si>
  <si>
    <t>*** rok 2012 do wykorzystania fakultatywnego</t>
  </si>
  <si>
    <t>budowa chodnika ul. Liliowa</t>
  </si>
  <si>
    <t>budowa chodnika ul. Drzewieckiego</t>
  </si>
  <si>
    <t>budowa drogi dojazdowej do gruntów rolnych</t>
  </si>
  <si>
    <t>Budowa chodnika ul. Liliowa</t>
  </si>
  <si>
    <t>Budowa chodnika ul. Drzewieckiego</t>
  </si>
  <si>
    <t>Wykup nieruchomości</t>
  </si>
  <si>
    <r>
      <t xml:space="preserve">do uchwały nr </t>
    </r>
    <r>
      <rPr>
        <b/>
        <sz val="10"/>
        <rFont val="Arial CE"/>
        <family val="0"/>
      </rPr>
      <t xml:space="preserve">XXXI/207/2008 </t>
    </r>
  </si>
  <si>
    <r>
      <t xml:space="preserve">z dnia : </t>
    </r>
    <r>
      <rPr>
        <b/>
        <sz val="10"/>
        <rFont val="Arial CE"/>
        <family val="0"/>
      </rPr>
      <t>19 grudnia 2008 r.</t>
    </r>
  </si>
  <si>
    <r>
      <t xml:space="preserve">z dnia : </t>
    </r>
    <r>
      <rPr>
        <b/>
        <sz val="10"/>
        <rFont val="Arial CE"/>
        <family val="0"/>
      </rPr>
      <t xml:space="preserve">19 grudnia 2008 r.  </t>
    </r>
    <r>
      <rPr>
        <sz val="10"/>
        <rFont val="Arial CE"/>
        <family val="0"/>
      </rPr>
      <t xml:space="preserve">           </t>
    </r>
    <r>
      <rPr>
        <sz val="10"/>
        <color indexed="9"/>
        <rFont val="Arial CE"/>
        <family val="0"/>
      </rPr>
      <t xml:space="preserve">.           </t>
    </r>
    <r>
      <rPr>
        <sz val="10"/>
        <rFont val="Arial CE"/>
        <family val="0"/>
      </rPr>
      <t xml:space="preserve">                            </t>
    </r>
  </si>
  <si>
    <r>
      <t xml:space="preserve">do uchwały nr </t>
    </r>
    <r>
      <rPr>
        <b/>
        <sz val="10"/>
        <rFont val="Arial CE"/>
        <family val="0"/>
      </rPr>
      <t>XXXI/207/2008</t>
    </r>
    <r>
      <rPr>
        <sz val="10"/>
        <rFont val="Arial CE"/>
        <family val="0"/>
      </rPr>
      <t xml:space="preserve">           </t>
    </r>
    <r>
      <rPr>
        <sz val="10"/>
        <color indexed="9"/>
        <rFont val="Arial CE"/>
        <family val="0"/>
      </rPr>
      <t>.</t>
    </r>
  </si>
  <si>
    <t>Plan
na 2009 r.
(5+9)</t>
  </si>
  <si>
    <r>
      <t xml:space="preserve">załącznik nr 2 
do uchwały nr  </t>
    </r>
    <r>
      <rPr>
        <b/>
        <sz val="9"/>
        <rFont val="Arial CE"/>
        <family val="0"/>
      </rPr>
      <t>XXXI/207/2008</t>
    </r>
    <r>
      <rPr>
        <sz val="9"/>
        <rFont val="Arial CE"/>
        <family val="0"/>
      </rPr>
      <t xml:space="preserve">    
Rady Miejskiej w Jelczu-Laskowicach
z dnia :  </t>
    </r>
    <r>
      <rPr>
        <b/>
        <sz val="9"/>
        <rFont val="Arial CE"/>
        <family val="0"/>
      </rPr>
      <t xml:space="preserve">19 grudnia 2008 r. </t>
    </r>
    <r>
      <rPr>
        <sz val="9"/>
        <rFont val="Arial CE"/>
        <family val="0"/>
      </rPr>
      <t xml:space="preserve">       </t>
    </r>
  </si>
  <si>
    <t>Budowa dróg na os. Domków Jednorodzinnych</t>
  </si>
  <si>
    <t>załącznik nr 2</t>
  </si>
  <si>
    <t>załącznik nr 1</t>
  </si>
  <si>
    <t>Remont świetlicy wiejskiej,budowa placu zabaw oraz zadaszenie sceny w Chwałowicach</t>
  </si>
  <si>
    <t xml:space="preserve">Poprawa efektywności energetycznej obiektów użyteczności publicznej na terenie gminy Jelcz-Laskowice </t>
  </si>
  <si>
    <t xml:space="preserve">Dofinansowanie do zakupu sprzętu ratowniczego dla OSP Minkowice </t>
  </si>
  <si>
    <t xml:space="preserve">Dofinansowanie do modernizacji i zakupu sprzętu medycznego dla szpitala w Oławie </t>
  </si>
  <si>
    <t>Poprawa efektywności energetycznej obiektów użyteczności publicznej na terenie gminy Jelcz-Laskowice</t>
  </si>
  <si>
    <t>załącznik nr 3</t>
  </si>
  <si>
    <t xml:space="preserve">Plan przychodów i rozchodów  budżetu w 2009 r.- po zmianach </t>
  </si>
  <si>
    <t>Zakup i objęcie akcji w spółce z.o.o ZGK w Jelczu-Laskowicach</t>
  </si>
  <si>
    <t xml:space="preserve">Pomoc dla Powiatu w zakresie budowy ul.Oławskiej w Jelczu-Laskowicach </t>
  </si>
  <si>
    <t>Modernizacja budynku przy ul.Techników 12 oraz zakup wyposażenia do świetlicy OPTY</t>
  </si>
  <si>
    <t xml:space="preserve">Utworzenie miejsca rekreacyjno-wypoczynkowego dla młodziezy i starszych  celem integracji lokalnej społeczności i możliwości spędzenia wolnego czasu </t>
  </si>
  <si>
    <t xml:space="preserve">Wdrożenie systemu monitoringu na obszarze wsparcia </t>
  </si>
  <si>
    <t xml:space="preserve">Przebudowa  i modernizacja drobnej infrastruktury przestrzeni puublicznej i utworzenie bezpiecznego placu zabaw dla dzieci </t>
  </si>
  <si>
    <t xml:space="preserve">Modernizacja pokryć dachowych trzech budynków mieszkalnych  przy ul.Działkowej oraz modernizacja części wspólnych klatek schodowych </t>
  </si>
  <si>
    <t>Termomodernizacja  ścian zewnętrznych oraz dachu dwóch budynków mieszkalnych przy ul.Techników nr 19-21 oraz 23-27</t>
  </si>
  <si>
    <t>Modernizacja pokrycia dachowego oraz odnowienie i modernizacja elewacji zewnetrznej budynków mieszkalnych przy ul.Techników nr 18 oraz nr 20</t>
  </si>
  <si>
    <t>Termomodernizacja  ścian zewnętrznych oraz dachu budynku mieszkalnego przy ul.Techników nr 22-24</t>
  </si>
  <si>
    <t>Termomodernizacja  ścian zewnętrznych oraz dachu budynku mieszkalnego  przy ul.Techników nr 29 i nr 29A</t>
  </si>
  <si>
    <t xml:space="preserve">Budowa publicznej sieci szerokopasmowej na terenie Gminy Jelcz-Laskowice </t>
  </si>
  <si>
    <t xml:space="preserve">Modernizacja oświetlenie na obszarze wsparcia </t>
  </si>
  <si>
    <t xml:space="preserve">Budowa Centrum Sportu i Rekreacji przy ul. Oławskiej  w Jelczu-Laskowicach </t>
  </si>
  <si>
    <t xml:space="preserve">Modernizacja pokrycia dachowego budynków mieszkalnych przy ul.Techników  nr 3 oraz nr 5 i termomodernizacja ścian budynku nr 5 </t>
  </si>
  <si>
    <r>
      <t xml:space="preserve">do uchwały nr </t>
    </r>
    <r>
      <rPr>
        <b/>
        <sz val="10"/>
        <rFont val="Arial CE"/>
        <family val="0"/>
      </rPr>
      <t xml:space="preserve"> </t>
    </r>
  </si>
  <si>
    <r>
      <t xml:space="preserve">z dnia :   </t>
    </r>
    <r>
      <rPr>
        <b/>
        <sz val="10"/>
        <rFont val="Arial CE"/>
        <family val="0"/>
      </rPr>
      <t xml:space="preserve"> </t>
    </r>
  </si>
  <si>
    <t xml:space="preserve">Modernizacja drobnej infrastruktury przestrzeni publicznej w zakresie chodników ,parkingów i zieleni miejskiej na obszarze wsparcia </t>
  </si>
  <si>
    <t>Zakup infrastruktury technicznej w podstrefie WSSE</t>
  </si>
  <si>
    <t xml:space="preserve">Zakup i objęcie akcji </t>
  </si>
  <si>
    <t xml:space="preserve">Modernizacja drobnej infrastruktury przestrzeni publicznej  w zakresie  chodników,parkingów i zieleni miejskiej na obszarze wsparcia </t>
  </si>
  <si>
    <t xml:space="preserve">Utworzenie miejsca rekreacyjno-wypoczynkowego dla młodzieży i starszych celem integracji lokalnej społeczności i możliwości spędzenia wolnego czasu </t>
  </si>
  <si>
    <t>Przebudowa i modernizacja drobnej infrastruktury  przestrzeni publicznej i utworzenie bezpiecznego placu zabaw dla dzieci</t>
  </si>
  <si>
    <t xml:space="preserve">Modernizacja pokryć dachowych  trzech budynków mieszkalnych przy ul.Działkowej oraz modernizacja części wspólnych klatek schodowych </t>
  </si>
  <si>
    <t xml:space="preserve">Termomodernizacja  ścian zewnętrznych oraz dachu dwóch budynków mieszkalnych przy ul.Techników  nr 19-21 oraz 23-27 </t>
  </si>
  <si>
    <t xml:space="preserve">Modernizacja pokrycia dachowego nudynków mieszkalnych przy ul.Techników nr 3 oraz nr 5 i termomodernizacja ścian budynku nr 5 </t>
  </si>
  <si>
    <t>Modernizacja pokrycia dachowego oraz odnowienie i modernizacja elewacji zewnętrznej budynków mieszkalnych przy ul.Techników nr 18 oraz nr 20</t>
  </si>
  <si>
    <t>Termomodernizacja ścian zewnętrznych oraz dachu budynku mieszkalnego przy ul.Techników nr 22-24</t>
  </si>
  <si>
    <t xml:space="preserve">Modernizacja oświetlenia na obszarze wsparcia </t>
  </si>
  <si>
    <t>Termomodernizacja ścian zewnetrznych oraz dachu budynku mieszkalnego przy ul.Techników nr 29 i 29 A</t>
  </si>
  <si>
    <t>Termomodernizacja ścian zewnetrznych oraz dachu i wymiana bram wejściowych budynków mieszkalnych przy ul.Techników   nr 16</t>
  </si>
  <si>
    <t>Termomodernizacja ścian  zewnetrznych oraz dachu i wymiana bram wejściowych budynków mieszkalnych przy ul.Techników   nr 16</t>
  </si>
  <si>
    <t>Bud. Kanalizacji sanitarnej w Chwałowicach i Dębinie etap 1-3</t>
  </si>
  <si>
    <t>Bud. kanalizacji sanitarnej w Chwałowicach i Dębinie etap 1-3</t>
  </si>
  <si>
    <t>Budowa kanalizacji sanitarnej w Chwałowicach i Dębinie etap 4-5</t>
  </si>
  <si>
    <t xml:space="preserve">Budowa Centrum Sportu i Rekreacji przy ul.Oławskiej w Jelczu-Laskowicach </t>
  </si>
  <si>
    <t xml:space="preserve">Pomoc dla Powiatu w zakresie przebudowy i modernizacji wiaduktu w Jelczu-Laskowicach </t>
  </si>
  <si>
    <t xml:space="preserve">do uchwały nr   </t>
  </si>
  <si>
    <t xml:space="preserve">z dnia :    </t>
  </si>
  <si>
    <t>Zakup patelni elektrycznej do świetlicy w Wójcicach</t>
  </si>
  <si>
    <t>Zakup 2-ch wiat przystankowych do Wójcic</t>
  </si>
  <si>
    <t xml:space="preserve">Budowa boiska wielofunkcyjnego przy Szkole Podstawowej nr 3 w Jelczu-Laskowicach </t>
  </si>
  <si>
    <t>Budowa boiska wielofunkcyjnego przy Szkole Podstawowej nr 3 w Jelczu-Laskowicach</t>
  </si>
  <si>
    <t xml:space="preserve">Budowa drogi dojazdowej do gruntów rolnych </t>
  </si>
  <si>
    <t>Zakup kotłowni w budynku gminnym w Minkowicach Oł.</t>
  </si>
  <si>
    <t>Adaptacja pomieszczeń Przychodni na świetlicę socjoterapeutyczną w Jelczu-Laskowicach</t>
  </si>
  <si>
    <r>
      <t>do uchwały nr XXXIX/270/2009</t>
    </r>
    <r>
      <rPr>
        <b/>
        <sz val="10"/>
        <rFont val="Arial CE"/>
        <family val="0"/>
      </rPr>
      <t xml:space="preserve"> </t>
    </r>
  </si>
  <si>
    <t>z dnia 31 lipca 2009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</si>
</sst>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,##0.00_ ;\-#,##0.00\ "/>
    <numFmt numFmtId="178" formatCode="00###"/>
    <numFmt numFmtId="179" formatCode="0###"/>
  </numFmts>
  <fonts count="3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Arial CE"/>
      <family val="2"/>
    </font>
    <font>
      <sz val="10"/>
      <color indexed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0" xfId="18" applyFont="1">
      <alignment/>
      <protection/>
    </xf>
    <xf numFmtId="0" fontId="11" fillId="0" borderId="1" xfId="18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3" xfId="18" applyFont="1" applyBorder="1">
      <alignment/>
      <protection/>
    </xf>
    <xf numFmtId="0" fontId="10" fillId="0" borderId="4" xfId="18" applyFont="1" applyBorder="1">
      <alignment/>
      <protection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18" applyFont="1">
      <alignment/>
      <protection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0" xfId="18" applyFont="1">
      <alignment/>
      <protection/>
    </xf>
    <xf numFmtId="0" fontId="10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3" fillId="0" borderId="9" xfId="0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vertical="top" wrapText="1"/>
    </xf>
    <xf numFmtId="169" fontId="13" fillId="0" borderId="0" xfId="0" applyNumberFormat="1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69" fontId="13" fillId="0" borderId="4" xfId="15" applyNumberFormat="1" applyFont="1" applyBorder="1" applyAlignment="1">
      <alignment vertical="top" wrapText="1"/>
    </xf>
    <xf numFmtId="169" fontId="22" fillId="0" borderId="1" xfId="15" applyNumberFormat="1" applyFont="1" applyBorder="1" applyAlignment="1">
      <alignment vertical="center"/>
    </xf>
    <xf numFmtId="169" fontId="0" fillId="0" borderId="4" xfId="15" applyNumberFormat="1" applyFont="1" applyBorder="1" applyAlignment="1">
      <alignment vertical="center"/>
    </xf>
    <xf numFmtId="169" fontId="3" fillId="0" borderId="1" xfId="15" applyNumberFormat="1" applyFont="1" applyBorder="1" applyAlignment="1">
      <alignment vertical="center"/>
    </xf>
    <xf numFmtId="169" fontId="3" fillId="0" borderId="1" xfId="15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9" fontId="0" fillId="0" borderId="3" xfId="15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169" fontId="3" fillId="0" borderId="2" xfId="15" applyNumberFormat="1" applyFont="1" applyBorder="1" applyAlignment="1">
      <alignment vertical="center"/>
    </xf>
    <xf numFmtId="169" fontId="3" fillId="0" borderId="3" xfId="15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169" fontId="0" fillId="0" borderId="6" xfId="15" applyNumberFormat="1" applyBorder="1" applyAlignment="1">
      <alignment vertical="center"/>
    </xf>
    <xf numFmtId="169" fontId="0" fillId="0" borderId="6" xfId="1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/>
    </xf>
    <xf numFmtId="169" fontId="0" fillId="0" borderId="4" xfId="15" applyNumberFormat="1" applyFont="1" applyBorder="1" applyAlignment="1">
      <alignment/>
    </xf>
    <xf numFmtId="0" fontId="0" fillId="0" borderId="5" xfId="0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9" fontId="0" fillId="0" borderId="3" xfId="15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2"/>
    </xf>
    <xf numFmtId="0" fontId="0" fillId="0" borderId="5" xfId="0" applyBorder="1" applyAlignment="1">
      <alignment horizontal="center" vertical="center"/>
    </xf>
    <xf numFmtId="169" fontId="0" fillId="0" borderId="5" xfId="15" applyNumberFormat="1" applyBorder="1" applyAlignment="1">
      <alignment vertical="center"/>
    </xf>
    <xf numFmtId="169" fontId="0" fillId="0" borderId="5" xfId="15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indent="2"/>
    </xf>
    <xf numFmtId="169" fontId="0" fillId="0" borderId="6" xfId="15" applyNumberFormat="1" applyBorder="1" applyAlignment="1">
      <alignment horizontal="center" vertical="center"/>
    </xf>
    <xf numFmtId="169" fontId="0" fillId="0" borderId="5" xfId="15" applyNumberFormat="1" applyFont="1" applyBorder="1" applyAlignment="1">
      <alignment vertical="center"/>
    </xf>
    <xf numFmtId="169" fontId="0" fillId="0" borderId="5" xfId="15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2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9" fontId="3" fillId="0" borderId="12" xfId="15" applyNumberFormat="1" applyFont="1" applyBorder="1" applyAlignment="1">
      <alignment vertical="center"/>
    </xf>
    <xf numFmtId="169" fontId="3" fillId="0" borderId="13" xfId="15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169" fontId="14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168" fontId="8" fillId="0" borderId="0" xfId="15" applyNumberFormat="1" applyFont="1" applyBorder="1" applyAlignment="1">
      <alignment horizontal="center" vertical="top" wrapText="1"/>
    </xf>
    <xf numFmtId="169" fontId="8" fillId="0" borderId="0" xfId="15" applyNumberFormat="1" applyFont="1" applyBorder="1" applyAlignment="1">
      <alignment horizontal="center" vertical="top" wrapText="1"/>
    </xf>
    <xf numFmtId="168" fontId="24" fillId="0" borderId="0" xfId="15" applyNumberFormat="1" applyFont="1" applyBorder="1" applyAlignment="1">
      <alignment wrapText="1"/>
    </xf>
    <xf numFmtId="168" fontId="8" fillId="0" borderId="0" xfId="15" applyNumberFormat="1" applyFont="1" applyBorder="1" applyAlignment="1">
      <alignment wrapText="1"/>
    </xf>
    <xf numFmtId="169" fontId="8" fillId="0" borderId="0" xfId="15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3" fillId="2" borderId="16" xfId="0" applyFont="1" applyFill="1" applyBorder="1" applyAlignment="1">
      <alignment horizontal="center" vertical="center" wrapText="1"/>
    </xf>
    <xf numFmtId="169" fontId="23" fillId="0" borderId="1" xfId="15" applyNumberFormat="1" applyFont="1" applyBorder="1" applyAlignment="1">
      <alignment horizontal="center" vertical="center" wrapText="1"/>
    </xf>
    <xf numFmtId="169" fontId="27" fillId="0" borderId="1" xfId="15" applyNumberFormat="1" applyFont="1" applyBorder="1" applyAlignment="1">
      <alignment horizontal="center" vertical="center" wrapText="1"/>
    </xf>
    <xf numFmtId="169" fontId="27" fillId="0" borderId="1" xfId="15" applyNumberFormat="1" applyFont="1" applyBorder="1" applyAlignment="1">
      <alignment horizontal="left" vertical="center" wrapText="1"/>
    </xf>
    <xf numFmtId="0" fontId="9" fillId="0" borderId="1" xfId="18" applyFont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9" fillId="0" borderId="1" xfId="18" applyFont="1" applyBorder="1" applyAlignment="1">
      <alignment wrapText="1"/>
      <protection/>
    </xf>
    <xf numFmtId="3" fontId="9" fillId="0" borderId="1" xfId="18" applyNumberFormat="1" applyFont="1" applyBorder="1">
      <alignment/>
      <protection/>
    </xf>
    <xf numFmtId="0" fontId="10" fillId="0" borderId="5" xfId="18" applyFont="1" applyBorder="1">
      <alignment/>
      <protection/>
    </xf>
    <xf numFmtId="3" fontId="10" fillId="0" borderId="5" xfId="18" applyNumberFormat="1" applyFont="1" applyBorder="1">
      <alignment/>
      <protection/>
    </xf>
    <xf numFmtId="3" fontId="10" fillId="0" borderId="3" xfId="18" applyNumberFormat="1" applyFont="1" applyBorder="1">
      <alignment/>
      <protection/>
    </xf>
    <xf numFmtId="3" fontId="10" fillId="0" borderId="3" xfId="18" applyNumberFormat="1" applyFont="1" applyBorder="1" applyAlignment="1">
      <alignment/>
      <protection/>
    </xf>
    <xf numFmtId="3" fontId="10" fillId="0" borderId="3" xfId="18" applyNumberFormat="1" applyFont="1" applyBorder="1" applyAlignment="1">
      <alignment wrapText="1"/>
      <protection/>
    </xf>
    <xf numFmtId="0" fontId="10" fillId="0" borderId="4" xfId="18" applyFont="1" applyBorder="1" applyAlignment="1">
      <alignment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19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wrapText="1"/>
      <protection/>
    </xf>
    <xf numFmtId="0" fontId="10" fillId="0" borderId="2" xfId="18" applyFont="1" applyBorder="1" applyAlignment="1">
      <alignment/>
      <protection/>
    </xf>
    <xf numFmtId="0" fontId="10" fillId="0" borderId="2" xfId="18" applyFont="1" applyBorder="1">
      <alignment/>
      <protection/>
    </xf>
    <xf numFmtId="3" fontId="10" fillId="0" borderId="2" xfId="18" applyNumberFormat="1" applyFont="1" applyBorder="1">
      <alignment/>
      <protection/>
    </xf>
    <xf numFmtId="0" fontId="10" fillId="0" borderId="16" xfId="18" applyFont="1" applyBorder="1" applyAlignment="1">
      <alignment horizontal="center" vertical="center"/>
      <protection/>
    </xf>
    <xf numFmtId="0" fontId="10" fillId="0" borderId="2" xfId="18" applyFont="1" applyBorder="1" applyAlignment="1">
      <alignment wrapText="1"/>
      <protection/>
    </xf>
    <xf numFmtId="0" fontId="10" fillId="0" borderId="20" xfId="18" applyFont="1" applyBorder="1">
      <alignment/>
      <protection/>
    </xf>
    <xf numFmtId="3" fontId="13" fillId="0" borderId="0" xfId="0" applyNumberFormat="1" applyFont="1" applyAlignment="1">
      <alignment/>
    </xf>
    <xf numFmtId="0" fontId="16" fillId="2" borderId="1" xfId="0" applyFont="1" applyFill="1" applyBorder="1" applyAlignment="1" quotePrefix="1">
      <alignment horizontal="center" vertical="center" wrapText="1"/>
    </xf>
    <xf numFmtId="3" fontId="16" fillId="0" borderId="19" xfId="15" applyNumberFormat="1" applyFont="1" applyBorder="1" applyAlignment="1">
      <alignment vertical="center" wrapText="1"/>
    </xf>
    <xf numFmtId="3" fontId="13" fillId="0" borderId="6" xfId="15" applyNumberFormat="1" applyFont="1" applyBorder="1" applyAlignment="1">
      <alignment vertical="center" wrapText="1"/>
    </xf>
    <xf numFmtId="3" fontId="13" fillId="0" borderId="4" xfId="15" applyNumberFormat="1" applyFont="1" applyBorder="1" applyAlignment="1">
      <alignment vertical="center" wrapText="1"/>
    </xf>
    <xf numFmtId="3" fontId="25" fillId="0" borderId="6" xfId="15" applyNumberFormat="1" applyFont="1" applyBorder="1" applyAlignment="1">
      <alignment vertical="center" wrapText="1"/>
    </xf>
    <xf numFmtId="3" fontId="13" fillId="0" borderId="3" xfId="15" applyNumberFormat="1" applyFont="1" applyBorder="1" applyAlignment="1">
      <alignment vertical="center" wrapText="1"/>
    </xf>
    <xf numFmtId="0" fontId="13" fillId="0" borderId="0" xfId="0" applyFont="1" applyAlignment="1" quotePrefix="1">
      <alignment/>
    </xf>
    <xf numFmtId="0" fontId="3" fillId="0" borderId="21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69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5" xfId="0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9" fontId="3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9" fontId="4" fillId="0" borderId="0" xfId="15" applyNumberFormat="1" applyFont="1" applyBorder="1" applyAlignment="1">
      <alignment vertical="center"/>
    </xf>
    <xf numFmtId="169" fontId="0" fillId="0" borderId="0" xfId="15" applyNumberFormat="1" applyBorder="1" applyAlignment="1">
      <alignment vertical="center"/>
    </xf>
    <xf numFmtId="169" fontId="15" fillId="0" borderId="0" xfId="15" applyNumberFormat="1" applyFont="1" applyBorder="1" applyAlignment="1">
      <alignment vertical="center"/>
    </xf>
    <xf numFmtId="169" fontId="22" fillId="0" borderId="0" xfId="15" applyNumberFormat="1" applyFont="1" applyBorder="1" applyAlignment="1">
      <alignment vertical="center"/>
    </xf>
    <xf numFmtId="169" fontId="3" fillId="0" borderId="0" xfId="15" applyNumberFormat="1" applyFont="1" applyBorder="1" applyAlignment="1">
      <alignment vertical="center"/>
    </xf>
    <xf numFmtId="169" fontId="0" fillId="0" borderId="0" xfId="15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1" xfId="0" applyBorder="1" applyAlignment="1">
      <alignment vertical="center"/>
    </xf>
    <xf numFmtId="0" fontId="0" fillId="0" borderId="31" xfId="0" applyFont="1" applyBorder="1" applyAlignment="1">
      <alignment vertical="center"/>
    </xf>
    <xf numFmtId="169" fontId="6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3" fontId="3" fillId="0" borderId="30" xfId="15" applyNumberFormat="1" applyFont="1" applyBorder="1" applyAlignment="1">
      <alignment vertical="center"/>
    </xf>
    <xf numFmtId="3" fontId="3" fillId="0" borderId="8" xfId="15" applyNumberFormat="1" applyFont="1" applyBorder="1" applyAlignment="1">
      <alignment vertical="center"/>
    </xf>
    <xf numFmtId="3" fontId="0" fillId="0" borderId="30" xfId="15" applyNumberFormat="1" applyBorder="1" applyAlignment="1">
      <alignment vertical="center" wrapText="1"/>
    </xf>
    <xf numFmtId="3" fontId="15" fillId="0" borderId="30" xfId="15" applyNumberFormat="1" applyFont="1" applyBorder="1" applyAlignment="1">
      <alignment vertical="center"/>
    </xf>
    <xf numFmtId="3" fontId="15" fillId="0" borderId="8" xfId="15" applyNumberFormat="1" applyFont="1" applyBorder="1" applyAlignment="1">
      <alignment vertical="center"/>
    </xf>
    <xf numFmtId="3" fontId="0" fillId="0" borderId="8" xfId="15" applyNumberFormat="1" applyFont="1" applyBorder="1" applyAlignment="1">
      <alignment vertical="center"/>
    </xf>
    <xf numFmtId="3" fontId="0" fillId="0" borderId="8" xfId="15" applyNumberFormat="1" applyFont="1" applyBorder="1" applyAlignment="1">
      <alignment vertical="center" wrapText="1"/>
    </xf>
    <xf numFmtId="3" fontId="22" fillId="0" borderId="8" xfId="15" applyNumberFormat="1" applyFont="1" applyBorder="1" applyAlignment="1">
      <alignment vertical="center"/>
    </xf>
    <xf numFmtId="3" fontId="0" fillId="0" borderId="31" xfId="15" applyNumberFormat="1" applyFont="1" applyBorder="1" applyAlignment="1">
      <alignment vertical="center"/>
    </xf>
    <xf numFmtId="3" fontId="4" fillId="0" borderId="8" xfId="15" applyNumberFormat="1" applyFont="1" applyBorder="1" applyAlignment="1">
      <alignment vertical="center"/>
    </xf>
    <xf numFmtId="3" fontId="4" fillId="0" borderId="8" xfId="15" applyNumberFormat="1" applyFont="1" applyBorder="1" applyAlignment="1">
      <alignment vertical="center" wrapText="1"/>
    </xf>
    <xf numFmtId="3" fontId="3" fillId="0" borderId="8" xfId="15" applyNumberFormat="1" applyFont="1" applyBorder="1" applyAlignment="1">
      <alignment vertical="center" wrapText="1"/>
    </xf>
    <xf numFmtId="3" fontId="4" fillId="0" borderId="0" xfId="15" applyNumberFormat="1" applyFont="1" applyBorder="1" applyAlignment="1">
      <alignment vertical="center"/>
    </xf>
    <xf numFmtId="3" fontId="22" fillId="0" borderId="36" xfId="15" applyNumberFormat="1" applyFont="1" applyBorder="1" applyAlignment="1">
      <alignment vertical="center"/>
    </xf>
    <xf numFmtId="3" fontId="4" fillId="0" borderId="37" xfId="15" applyNumberFormat="1" applyFont="1" applyBorder="1" applyAlignment="1">
      <alignment vertical="center"/>
    </xf>
    <xf numFmtId="3" fontId="16" fillId="0" borderId="19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vertical="center" wrapText="1"/>
    </xf>
    <xf numFmtId="3" fontId="13" fillId="0" borderId="19" xfId="15" applyNumberFormat="1" applyFont="1" applyBorder="1" applyAlignment="1">
      <alignment vertical="center" wrapText="1"/>
    </xf>
    <xf numFmtId="3" fontId="13" fillId="0" borderId="38" xfId="15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6" fillId="2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3" fontId="24" fillId="0" borderId="42" xfId="15" applyNumberFormat="1" applyFont="1" applyBorder="1" applyAlignment="1">
      <alignment vertical="center" wrapText="1"/>
    </xf>
    <xf numFmtId="3" fontId="24" fillId="0" borderId="29" xfId="15" applyNumberFormat="1" applyFont="1" applyBorder="1" applyAlignment="1">
      <alignment vertical="center" wrapText="1"/>
    </xf>
    <xf numFmtId="172" fontId="13" fillId="0" borderId="6" xfId="20" applyNumberFormat="1" applyFont="1" applyBorder="1" applyAlignment="1">
      <alignment horizontal="center" vertical="center" wrapText="1"/>
    </xf>
    <xf numFmtId="172" fontId="24" fillId="0" borderId="42" xfId="15" applyNumberFormat="1" applyFont="1" applyBorder="1" applyAlignment="1">
      <alignment horizontal="center" vertical="center" wrapText="1"/>
    </xf>
    <xf numFmtId="3" fontId="13" fillId="0" borderId="43" xfId="15" applyNumberFormat="1" applyFont="1" applyBorder="1" applyAlignment="1">
      <alignment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3" xfId="0" applyNumberFormat="1" applyFont="1" applyFill="1" applyBorder="1" applyAlignment="1">
      <alignment vertical="center" wrapText="1"/>
    </xf>
    <xf numFmtId="3" fontId="13" fillId="0" borderId="3" xfId="15" applyNumberFormat="1" applyFont="1" applyFill="1" applyBorder="1" applyAlignment="1">
      <alignment vertical="center" wrapText="1"/>
    </xf>
    <xf numFmtId="172" fontId="13" fillId="0" borderId="3" xfId="20" applyNumberFormat="1" applyFont="1" applyFill="1" applyBorder="1" applyAlignment="1">
      <alignment horizontal="center" vertical="center" wrapText="1"/>
    </xf>
    <xf numFmtId="3" fontId="13" fillId="0" borderId="44" xfId="15" applyNumberFormat="1" applyFont="1" applyBorder="1" applyAlignment="1">
      <alignment vertical="center" wrapText="1"/>
    </xf>
    <xf numFmtId="3" fontId="24" fillId="0" borderId="7" xfId="15" applyNumberFormat="1" applyFont="1" applyBorder="1" applyAlignment="1">
      <alignment vertical="center" wrapText="1"/>
    </xf>
    <xf numFmtId="3" fontId="16" fillId="0" borderId="3" xfId="15" applyNumberFormat="1" applyFont="1" applyBorder="1" applyAlignment="1">
      <alignment vertical="center" wrapText="1"/>
    </xf>
    <xf numFmtId="3" fontId="24" fillId="0" borderId="45" xfId="0" applyNumberFormat="1" applyFont="1" applyBorder="1" applyAlignment="1" quotePrefix="1">
      <alignment horizontal="center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vertical="center" wrapText="1"/>
    </xf>
    <xf numFmtId="3" fontId="24" fillId="0" borderId="1" xfId="15" applyNumberFormat="1" applyFont="1" applyBorder="1" applyAlignment="1">
      <alignment vertical="center" wrapText="1"/>
    </xf>
    <xf numFmtId="172" fontId="24" fillId="0" borderId="1" xfId="20" applyNumberFormat="1" applyFont="1" applyBorder="1" applyAlignment="1">
      <alignment horizontal="center" vertical="center" wrapText="1"/>
    </xf>
    <xf numFmtId="3" fontId="24" fillId="0" borderId="24" xfId="15" applyNumberFormat="1" applyFont="1" applyBorder="1" applyAlignment="1">
      <alignment vertical="center" wrapText="1"/>
    </xf>
    <xf numFmtId="3" fontId="13" fillId="0" borderId="46" xfId="0" applyNumberFormat="1" applyFont="1" applyBorder="1" applyAlignment="1">
      <alignment horizontal="center" vertical="center" wrapText="1"/>
    </xf>
    <xf numFmtId="176" fontId="16" fillId="0" borderId="5" xfId="0" applyNumberFormat="1" applyFont="1" applyBorder="1" applyAlignment="1">
      <alignment horizontal="right" vertical="center" wrapText="1"/>
    </xf>
    <xf numFmtId="3" fontId="16" fillId="0" borderId="5" xfId="0" applyNumberFormat="1" applyFont="1" applyBorder="1" applyAlignment="1">
      <alignment vertical="center" wrapText="1"/>
    </xf>
    <xf numFmtId="3" fontId="16" fillId="0" borderId="5" xfId="15" applyNumberFormat="1" applyFont="1" applyBorder="1" applyAlignment="1">
      <alignment vertical="center" wrapText="1"/>
    </xf>
    <xf numFmtId="172" fontId="16" fillId="0" borderId="5" xfId="20" applyNumberFormat="1" applyFont="1" applyBorder="1" applyAlignment="1">
      <alignment horizontal="center" vertical="center" wrapText="1"/>
    </xf>
    <xf numFmtId="3" fontId="16" fillId="0" borderId="47" xfId="15" applyNumberFormat="1" applyFont="1" applyBorder="1" applyAlignment="1">
      <alignment vertical="center" wrapText="1"/>
    </xf>
    <xf numFmtId="3" fontId="13" fillId="0" borderId="48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vertical="center" wrapText="1"/>
    </xf>
    <xf numFmtId="172" fontId="13" fillId="0" borderId="3" xfId="20" applyNumberFormat="1" applyFont="1" applyBorder="1" applyAlignment="1">
      <alignment horizontal="center" vertical="center" wrapText="1"/>
    </xf>
    <xf numFmtId="176" fontId="16" fillId="0" borderId="3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vertical="center" wrapText="1"/>
    </xf>
    <xf numFmtId="172" fontId="16" fillId="0" borderId="3" xfId="20" applyNumberFormat="1" applyFont="1" applyBorder="1" applyAlignment="1">
      <alignment horizontal="center" vertical="center" wrapText="1"/>
    </xf>
    <xf numFmtId="3" fontId="24" fillId="0" borderId="49" xfId="0" applyNumberFormat="1" applyFont="1" applyBorder="1" applyAlignment="1">
      <alignment horizontal="center" vertical="center" wrapText="1"/>
    </xf>
    <xf numFmtId="176" fontId="24" fillId="0" borderId="2" xfId="0" applyNumberFormat="1" applyFont="1" applyBorder="1" applyAlignment="1">
      <alignment horizontal="right" vertical="center" wrapText="1"/>
    </xf>
    <xf numFmtId="3" fontId="24" fillId="0" borderId="2" xfId="0" applyNumberFormat="1" applyFont="1" applyBorder="1" applyAlignment="1">
      <alignment vertical="center" wrapText="1"/>
    </xf>
    <xf numFmtId="3" fontId="3" fillId="0" borderId="2" xfId="15" applyNumberFormat="1" applyFont="1" applyBorder="1" applyAlignment="1">
      <alignment vertical="center" wrapText="1"/>
    </xf>
    <xf numFmtId="172" fontId="24" fillId="0" borderId="2" xfId="20" applyNumberFormat="1" applyFont="1" applyBorder="1" applyAlignment="1">
      <alignment horizontal="center" vertical="center" wrapText="1"/>
    </xf>
    <xf numFmtId="3" fontId="24" fillId="0" borderId="2" xfId="15" applyNumberFormat="1" applyFont="1" applyBorder="1" applyAlignment="1">
      <alignment vertical="center" wrapText="1"/>
    </xf>
    <xf numFmtId="3" fontId="16" fillId="0" borderId="50" xfId="15" applyNumberFormat="1" applyFont="1" applyBorder="1" applyAlignment="1">
      <alignment vertical="center" wrapText="1"/>
    </xf>
    <xf numFmtId="3" fontId="16" fillId="0" borderId="48" xfId="0" applyNumberFormat="1" applyFont="1" applyBorder="1" applyAlignment="1">
      <alignment horizontal="center" vertical="center" wrapText="1"/>
    </xf>
    <xf numFmtId="3" fontId="16" fillId="0" borderId="44" xfId="15" applyNumberFormat="1" applyFont="1" applyBorder="1" applyAlignment="1">
      <alignment vertical="center" wrapText="1"/>
    </xf>
    <xf numFmtId="3" fontId="13" fillId="0" borderId="48" xfId="15" applyNumberFormat="1" applyFont="1" applyBorder="1" applyAlignment="1">
      <alignment horizontal="center" vertical="center" wrapText="1"/>
    </xf>
    <xf numFmtId="176" fontId="13" fillId="0" borderId="3" xfId="15" applyNumberFormat="1" applyFont="1" applyBorder="1" applyAlignment="1">
      <alignment horizontal="right" vertical="center" wrapText="1"/>
    </xf>
    <xf numFmtId="3" fontId="13" fillId="0" borderId="51" xfId="15" applyNumberFormat="1" applyFont="1" applyBorder="1" applyAlignment="1">
      <alignment horizontal="center" vertical="center" wrapText="1"/>
    </xf>
    <xf numFmtId="176" fontId="13" fillId="0" borderId="6" xfId="15" applyNumberFormat="1" applyFont="1" applyBorder="1" applyAlignment="1">
      <alignment horizontal="right" vertical="center" wrapText="1"/>
    </xf>
    <xf numFmtId="3" fontId="25" fillId="0" borderId="3" xfId="15" applyNumberFormat="1" applyFont="1" applyBorder="1" applyAlignment="1">
      <alignment vertical="center" wrapText="1"/>
    </xf>
    <xf numFmtId="172" fontId="25" fillId="0" borderId="3" xfId="20" applyNumberFormat="1" applyFont="1" applyBorder="1" applyAlignment="1">
      <alignment horizontal="center" vertical="center" wrapText="1"/>
    </xf>
    <xf numFmtId="3" fontId="25" fillId="0" borderId="44" xfId="15" applyNumberFormat="1" applyFont="1" applyBorder="1" applyAlignment="1">
      <alignment vertical="center" wrapText="1"/>
    </xf>
    <xf numFmtId="3" fontId="16" fillId="0" borderId="52" xfId="15" applyNumberFormat="1" applyFont="1" applyBorder="1" applyAlignment="1">
      <alignment horizontal="center" vertical="center" wrapText="1"/>
    </xf>
    <xf numFmtId="176" fontId="24" fillId="0" borderId="7" xfId="15" applyNumberFormat="1" applyFont="1" applyBorder="1" applyAlignment="1">
      <alignment horizontal="right" vertical="center" wrapText="1"/>
    </xf>
    <xf numFmtId="172" fontId="24" fillId="0" borderId="7" xfId="20" applyNumberFormat="1" applyFont="1" applyBorder="1" applyAlignment="1">
      <alignment horizontal="center" vertical="center" wrapText="1"/>
    </xf>
    <xf numFmtId="3" fontId="24" fillId="0" borderId="53" xfId="15" applyNumberFormat="1" applyFont="1" applyBorder="1" applyAlignment="1">
      <alignment vertical="center" wrapText="1"/>
    </xf>
    <xf numFmtId="176" fontId="16" fillId="0" borderId="3" xfId="15" applyNumberFormat="1" applyFont="1" applyBorder="1" applyAlignment="1">
      <alignment horizontal="right" vertical="center" wrapText="1"/>
    </xf>
    <xf numFmtId="3" fontId="13" fillId="0" borderId="46" xfId="15" applyNumberFormat="1" applyFont="1" applyBorder="1" applyAlignment="1">
      <alignment horizontal="center" vertical="center" wrapText="1"/>
    </xf>
    <xf numFmtId="176" fontId="13" fillId="0" borderId="5" xfId="15" applyNumberFormat="1" applyFont="1" applyBorder="1" applyAlignment="1">
      <alignment horizontal="right" vertical="center" wrapText="1"/>
    </xf>
    <xf numFmtId="3" fontId="13" fillId="0" borderId="5" xfId="15" applyNumberFormat="1" applyFont="1" applyBorder="1" applyAlignment="1">
      <alignment vertical="center" wrapText="1"/>
    </xf>
    <xf numFmtId="3" fontId="13" fillId="0" borderId="5" xfId="15" applyNumberFormat="1" applyFont="1" applyFill="1" applyBorder="1" applyAlignment="1">
      <alignment vertical="center" wrapText="1"/>
    </xf>
    <xf numFmtId="3" fontId="25" fillId="0" borderId="5" xfId="15" applyNumberFormat="1" applyFont="1" applyBorder="1" applyAlignment="1">
      <alignment vertical="center" wrapText="1"/>
    </xf>
    <xf numFmtId="172" fontId="25" fillId="0" borderId="5" xfId="20" applyNumberFormat="1" applyFont="1" applyBorder="1" applyAlignment="1">
      <alignment horizontal="center" vertical="center" wrapText="1"/>
    </xf>
    <xf numFmtId="3" fontId="13" fillId="0" borderId="47" xfId="15" applyNumberFormat="1" applyFont="1" applyBorder="1" applyAlignment="1">
      <alignment vertical="center" wrapText="1"/>
    </xf>
    <xf numFmtId="3" fontId="13" fillId="0" borderId="3" xfId="15" applyNumberFormat="1" applyFont="1" applyBorder="1" applyAlignment="1">
      <alignment horizontal="left" vertical="center" wrapText="1"/>
    </xf>
    <xf numFmtId="3" fontId="13" fillId="0" borderId="6" xfId="15" applyNumberFormat="1" applyFont="1" applyBorder="1" applyAlignment="1">
      <alignment horizontal="left" vertical="center" wrapText="1"/>
    </xf>
    <xf numFmtId="3" fontId="13" fillId="0" borderId="6" xfId="15" applyNumberFormat="1" applyFont="1" applyFill="1" applyBorder="1" applyAlignment="1">
      <alignment vertical="center" wrapText="1"/>
    </xf>
    <xf numFmtId="172" fontId="25" fillId="0" borderId="6" xfId="20" applyNumberFormat="1" applyFont="1" applyBorder="1" applyAlignment="1">
      <alignment horizontal="center" vertical="center" wrapText="1"/>
    </xf>
    <xf numFmtId="3" fontId="16" fillId="0" borderId="6" xfId="15" applyNumberFormat="1" applyFont="1" applyBorder="1" applyAlignment="1">
      <alignment horizontal="left" vertical="center" wrapText="1"/>
    </xf>
    <xf numFmtId="3" fontId="16" fillId="0" borderId="6" xfId="15" applyNumberFormat="1" applyFont="1" applyBorder="1" applyAlignment="1">
      <alignment vertical="center" wrapText="1"/>
    </xf>
    <xf numFmtId="172" fontId="16" fillId="0" borderId="6" xfId="20" applyNumberFormat="1" applyFont="1" applyBorder="1" applyAlignment="1">
      <alignment horizontal="center" vertical="center" wrapText="1"/>
    </xf>
    <xf numFmtId="3" fontId="16" fillId="0" borderId="43" xfId="15" applyNumberFormat="1" applyFont="1" applyBorder="1" applyAlignment="1">
      <alignment vertical="center" wrapText="1"/>
    </xf>
    <xf numFmtId="3" fontId="25" fillId="0" borderId="6" xfId="15" applyNumberFormat="1" applyFont="1" applyBorder="1" applyAlignment="1">
      <alignment horizontal="left" vertical="center" wrapText="1"/>
    </xf>
    <xf numFmtId="3" fontId="25" fillId="0" borderId="43" xfId="15" applyNumberFormat="1" applyFont="1" applyBorder="1" applyAlignment="1">
      <alignment vertical="center" wrapText="1"/>
    </xf>
    <xf numFmtId="176" fontId="16" fillId="0" borderId="6" xfId="15" applyNumberFormat="1" applyFont="1" applyBorder="1" applyAlignment="1">
      <alignment horizontal="right" vertical="center" wrapText="1"/>
    </xf>
    <xf numFmtId="3" fontId="25" fillId="0" borderId="6" xfId="15" applyNumberFormat="1" applyFont="1" applyFill="1" applyBorder="1" applyAlignment="1">
      <alignment vertical="center" wrapText="1"/>
    </xf>
    <xf numFmtId="3" fontId="16" fillId="0" borderId="53" xfId="15" applyNumberFormat="1" applyFont="1" applyBorder="1" applyAlignment="1">
      <alignment vertical="center" wrapText="1"/>
    </xf>
    <xf numFmtId="3" fontId="16" fillId="0" borderId="48" xfId="15" applyNumberFormat="1" applyFont="1" applyBorder="1" applyAlignment="1">
      <alignment horizontal="center" vertical="center" wrapText="1"/>
    </xf>
    <xf numFmtId="3" fontId="16" fillId="0" borderId="49" xfId="15" applyNumberFormat="1" applyFont="1" applyBorder="1" applyAlignment="1">
      <alignment horizontal="center" vertical="center" wrapText="1"/>
    </xf>
    <xf numFmtId="176" fontId="24" fillId="0" borderId="2" xfId="15" applyNumberFormat="1" applyFont="1" applyBorder="1" applyAlignment="1">
      <alignment horizontal="right" vertical="center" wrapText="1"/>
    </xf>
    <xf numFmtId="3" fontId="24" fillId="0" borderId="50" xfId="15" applyNumberFormat="1" applyFont="1" applyBorder="1" applyAlignment="1">
      <alignment vertical="center" wrapText="1"/>
    </xf>
    <xf numFmtId="3" fontId="16" fillId="0" borderId="54" xfId="15" applyNumberFormat="1" applyFont="1" applyBorder="1" applyAlignment="1">
      <alignment horizontal="center" vertical="center" wrapText="1"/>
    </xf>
    <xf numFmtId="176" fontId="16" fillId="0" borderId="19" xfId="15" applyNumberFormat="1" applyFont="1" applyBorder="1" applyAlignment="1">
      <alignment horizontal="right" vertical="center" wrapText="1"/>
    </xf>
    <xf numFmtId="172" fontId="16" fillId="0" borderId="19" xfId="20" applyNumberFormat="1" applyFont="1" applyBorder="1" applyAlignment="1">
      <alignment horizontal="center" vertical="center" wrapText="1"/>
    </xf>
    <xf numFmtId="3" fontId="16" fillId="0" borderId="38" xfId="15" applyNumberFormat="1" applyFont="1" applyBorder="1" applyAlignment="1">
      <alignment vertical="center" wrapText="1"/>
    </xf>
    <xf numFmtId="3" fontId="16" fillId="0" borderId="51" xfId="15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 wrapText="1"/>
    </xf>
    <xf numFmtId="3" fontId="24" fillId="0" borderId="52" xfId="0" applyNumberFormat="1" applyFont="1" applyBorder="1" applyAlignment="1">
      <alignment horizontal="center" vertical="center" wrapText="1"/>
    </xf>
    <xf numFmtId="176" fontId="24" fillId="0" borderId="7" xfId="0" applyNumberFormat="1" applyFont="1" applyBorder="1" applyAlignment="1">
      <alignment horizontal="right" vertical="center" wrapText="1"/>
    </xf>
    <xf numFmtId="3" fontId="24" fillId="0" borderId="7" xfId="0" applyNumberFormat="1" applyFont="1" applyBorder="1" applyAlignment="1">
      <alignment vertical="center" wrapText="1"/>
    </xf>
    <xf numFmtId="3" fontId="16" fillId="0" borderId="7" xfId="15" applyNumberFormat="1" applyFont="1" applyBorder="1" applyAlignment="1">
      <alignment vertical="center" wrapText="1"/>
    </xf>
    <xf numFmtId="3" fontId="24" fillId="0" borderId="48" xfId="0" applyNumberFormat="1" applyFont="1" applyBorder="1" applyAlignment="1">
      <alignment horizontal="center" vertical="center" wrapText="1"/>
    </xf>
    <xf numFmtId="3" fontId="24" fillId="0" borderId="3" xfId="15" applyNumberFormat="1" applyFont="1" applyBorder="1" applyAlignment="1">
      <alignment vertical="center" wrapText="1"/>
    </xf>
    <xf numFmtId="172" fontId="24" fillId="0" borderId="3" xfId="20" applyNumberFormat="1" applyFont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horizontal="center" vertical="center" wrapText="1"/>
    </xf>
    <xf numFmtId="176" fontId="13" fillId="0" borderId="19" xfId="0" applyNumberFormat="1" applyFont="1" applyBorder="1" applyAlignment="1">
      <alignment horizontal="right" vertical="center" wrapText="1"/>
    </xf>
    <xf numFmtId="3" fontId="13" fillId="0" borderId="19" xfId="0" applyNumberFormat="1" applyFont="1" applyBorder="1" applyAlignment="1">
      <alignment vertical="center" wrapText="1"/>
    </xf>
    <xf numFmtId="172" fontId="13" fillId="0" borderId="19" xfId="20" applyNumberFormat="1" applyFont="1" applyBorder="1" applyAlignment="1">
      <alignment horizontal="center" vertical="center" wrapText="1"/>
    </xf>
    <xf numFmtId="3" fontId="16" fillId="0" borderId="46" xfId="0" applyNumberFormat="1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vertical="center" wrapText="1"/>
    </xf>
    <xf numFmtId="3" fontId="28" fillId="0" borderId="3" xfId="0" applyNumberFormat="1" applyFont="1" applyFill="1" applyBorder="1" applyAlignment="1">
      <alignment vertical="center" wrapText="1"/>
    </xf>
    <xf numFmtId="3" fontId="13" fillId="0" borderId="6" xfId="0" applyNumberFormat="1" applyFont="1" applyFill="1" applyBorder="1" applyAlignment="1">
      <alignment vertical="center" wrapText="1"/>
    </xf>
    <xf numFmtId="3" fontId="16" fillId="0" borderId="6" xfId="0" applyNumberFormat="1" applyFont="1" applyFill="1" applyBorder="1" applyAlignment="1">
      <alignment vertical="center" wrapText="1"/>
    </xf>
    <xf numFmtId="3" fontId="25" fillId="0" borderId="6" xfId="0" applyNumberFormat="1" applyFont="1" applyBorder="1" applyAlignment="1">
      <alignment vertical="center" wrapText="1"/>
    </xf>
    <xf numFmtId="3" fontId="16" fillId="0" borderId="51" xfId="0" applyNumberFormat="1" applyFont="1" applyBorder="1" applyAlignment="1">
      <alignment horizontal="center" vertical="center" wrapText="1"/>
    </xf>
    <xf numFmtId="176" fontId="16" fillId="0" borderId="6" xfId="0" applyNumberFormat="1" applyFont="1" applyBorder="1" applyAlignment="1">
      <alignment horizontal="right" vertical="center" wrapText="1"/>
    </xf>
    <xf numFmtId="3" fontId="28" fillId="0" borderId="6" xfId="0" applyNumberFormat="1" applyFont="1" applyFill="1" applyBorder="1" applyAlignment="1">
      <alignment vertical="center" wrapText="1"/>
    </xf>
    <xf numFmtId="172" fontId="13" fillId="0" borderId="6" xfId="2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vertical="center" wrapText="1"/>
    </xf>
    <xf numFmtId="3" fontId="16" fillId="0" borderId="3" xfId="15" applyNumberFormat="1" applyFont="1" applyFill="1" applyBorder="1" applyAlignment="1">
      <alignment vertical="center" wrapText="1"/>
    </xf>
    <xf numFmtId="172" fontId="16" fillId="0" borderId="3" xfId="20" applyNumberFormat="1" applyFont="1" applyFill="1" applyBorder="1" applyAlignment="1">
      <alignment horizontal="center" vertical="center" wrapText="1"/>
    </xf>
    <xf numFmtId="3" fontId="16" fillId="0" borderId="6" xfId="15" applyNumberFormat="1" applyFont="1" applyFill="1" applyBorder="1" applyAlignment="1">
      <alignment vertical="center" wrapText="1"/>
    </xf>
    <xf numFmtId="172" fontId="16" fillId="0" borderId="6" xfId="20" applyNumberFormat="1" applyFont="1" applyFill="1" applyBorder="1" applyAlignment="1">
      <alignment horizontal="center" vertical="center" wrapText="1"/>
    </xf>
    <xf numFmtId="176" fontId="24" fillId="0" borderId="3" xfId="0" applyNumberFormat="1" applyFont="1" applyBorder="1" applyAlignment="1">
      <alignment horizontal="right" vertical="center" wrapText="1"/>
    </xf>
    <xf numFmtId="3" fontId="24" fillId="0" borderId="3" xfId="0" applyNumberFormat="1" applyFont="1" applyBorder="1" applyAlignment="1">
      <alignment vertical="center" wrapText="1"/>
    </xf>
    <xf numFmtId="3" fontId="24" fillId="0" borderId="44" xfId="15" applyNumberFormat="1" applyFont="1" applyBorder="1" applyAlignment="1">
      <alignment vertical="center" wrapText="1"/>
    </xf>
    <xf numFmtId="3" fontId="13" fillId="0" borderId="40" xfId="0" applyNumberFormat="1" applyFont="1" applyBorder="1" applyAlignment="1">
      <alignment horizontal="center" vertical="center" wrapText="1"/>
    </xf>
    <xf numFmtId="176" fontId="13" fillId="0" borderId="16" xfId="0" applyNumberFormat="1" applyFont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vertical="center" wrapText="1"/>
    </xf>
    <xf numFmtId="3" fontId="13" fillId="0" borderId="16" xfId="15" applyNumberFormat="1" applyFont="1" applyFill="1" applyBorder="1" applyAlignment="1">
      <alignment vertical="center" wrapText="1"/>
    </xf>
    <xf numFmtId="172" fontId="13" fillId="0" borderId="16" xfId="20" applyNumberFormat="1" applyFont="1" applyFill="1" applyBorder="1" applyAlignment="1">
      <alignment horizontal="center" vertical="center" wrapText="1"/>
    </xf>
    <xf numFmtId="3" fontId="13" fillId="0" borderId="16" xfId="15" applyNumberFormat="1" applyFont="1" applyBorder="1" applyAlignment="1">
      <alignment vertical="center" wrapText="1"/>
    </xf>
    <xf numFmtId="3" fontId="13" fillId="0" borderId="41" xfId="15" applyNumberFormat="1" applyFont="1" applyBorder="1" applyAlignment="1">
      <alignment vertical="center" wrapText="1"/>
    </xf>
    <xf numFmtId="3" fontId="13" fillId="0" borderId="55" xfId="0" applyNumberFormat="1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vertical="center" wrapText="1"/>
    </xf>
    <xf numFmtId="172" fontId="13" fillId="0" borderId="4" xfId="20" applyNumberFormat="1" applyFont="1" applyBorder="1" applyAlignment="1">
      <alignment horizontal="center" vertical="center" wrapText="1"/>
    </xf>
    <xf numFmtId="3" fontId="13" fillId="0" borderId="56" xfId="15" applyNumberFormat="1" applyFont="1" applyBorder="1" applyAlignment="1">
      <alignment vertical="center" wrapText="1"/>
    </xf>
    <xf numFmtId="3" fontId="25" fillId="0" borderId="3" xfId="0" applyNumberFormat="1" applyFont="1" applyBorder="1" applyAlignment="1">
      <alignment vertical="center" wrapText="1"/>
    </xf>
    <xf numFmtId="3" fontId="13" fillId="0" borderId="55" xfId="15" applyNumberFormat="1" applyFont="1" applyBorder="1" applyAlignment="1">
      <alignment horizontal="center" vertical="center" wrapText="1"/>
    </xf>
    <xf numFmtId="176" fontId="13" fillId="0" borderId="4" xfId="15" applyNumberFormat="1" applyFont="1" applyBorder="1" applyAlignment="1">
      <alignment horizontal="right" vertical="center" wrapText="1"/>
    </xf>
    <xf numFmtId="3" fontId="28" fillId="0" borderId="3" xfId="15" applyNumberFormat="1" applyFont="1" applyBorder="1" applyAlignment="1">
      <alignment vertical="center" wrapText="1"/>
    </xf>
    <xf numFmtId="3" fontId="28" fillId="0" borderId="44" xfId="15" applyNumberFormat="1" applyFont="1" applyBorder="1" applyAlignment="1">
      <alignment vertical="center" wrapText="1"/>
    </xf>
    <xf numFmtId="3" fontId="23" fillId="0" borderId="17" xfId="15" applyNumberFormat="1" applyFont="1" applyBorder="1" applyAlignment="1">
      <alignment horizontal="center" vertical="center" wrapText="1"/>
    </xf>
    <xf numFmtId="3" fontId="23" fillId="0" borderId="0" xfId="15" applyNumberFormat="1" applyFont="1" applyBorder="1" applyAlignment="1">
      <alignment horizontal="right" vertical="center" wrapText="1"/>
    </xf>
    <xf numFmtId="172" fontId="13" fillId="0" borderId="39" xfId="20" applyNumberFormat="1" applyFont="1" applyBorder="1" applyAlignment="1">
      <alignment horizontal="center" vertical="center" wrapText="1"/>
    </xf>
    <xf numFmtId="3" fontId="13" fillId="0" borderId="6" xfId="15" applyNumberFormat="1" applyFont="1" applyBorder="1" applyAlignment="1">
      <alignment horizontal="right" vertical="center" wrapText="1"/>
    </xf>
    <xf numFmtId="3" fontId="24" fillId="0" borderId="7" xfId="15" applyNumberFormat="1" applyFont="1" applyBorder="1" applyAlignment="1">
      <alignment horizontal="right" vertical="center" wrapText="1"/>
    </xf>
    <xf numFmtId="172" fontId="13" fillId="0" borderId="7" xfId="20" applyNumberFormat="1" applyFont="1" applyBorder="1" applyAlignment="1">
      <alignment horizontal="center" vertical="center" wrapText="1"/>
    </xf>
    <xf numFmtId="3" fontId="16" fillId="0" borderId="3" xfId="15" applyNumberFormat="1" applyFont="1" applyBorder="1" applyAlignment="1">
      <alignment horizontal="right" vertical="center" wrapText="1"/>
    </xf>
    <xf numFmtId="3" fontId="8" fillId="0" borderId="7" xfId="15" applyNumberFormat="1" applyFont="1" applyBorder="1" applyAlignment="1">
      <alignment vertical="center" wrapText="1"/>
    </xf>
    <xf numFmtId="3" fontId="8" fillId="0" borderId="53" xfId="15" applyNumberFormat="1" applyFont="1" applyBorder="1" applyAlignment="1">
      <alignment vertical="center" wrapText="1"/>
    </xf>
    <xf numFmtId="3" fontId="13" fillId="0" borderId="5" xfId="15" applyNumberFormat="1" applyFont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right" vertical="center" wrapText="1"/>
    </xf>
    <xf numFmtId="3" fontId="13" fillId="0" borderId="7" xfId="15" applyNumberFormat="1" applyFont="1" applyBorder="1" applyAlignment="1">
      <alignment vertical="center" wrapText="1"/>
    </xf>
    <xf numFmtId="3" fontId="13" fillId="0" borderId="53" xfId="15" applyNumberFormat="1" applyFont="1" applyBorder="1" applyAlignment="1">
      <alignment vertical="center" wrapText="1"/>
    </xf>
    <xf numFmtId="3" fontId="16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57" xfId="0" applyNumberFormat="1" applyFont="1" applyBorder="1" applyAlignment="1">
      <alignment horizontal="center" vertical="center" wrapText="1"/>
    </xf>
    <xf numFmtId="3" fontId="16" fillId="0" borderId="58" xfId="0" applyNumberFormat="1" applyFont="1" applyBorder="1" applyAlignment="1">
      <alignment horizontal="right" vertical="center" wrapText="1"/>
    </xf>
    <xf numFmtId="3" fontId="13" fillId="0" borderId="58" xfId="0" applyNumberFormat="1" applyFont="1" applyBorder="1" applyAlignment="1">
      <alignment vertical="center" wrapText="1"/>
    </xf>
    <xf numFmtId="3" fontId="13" fillId="0" borderId="58" xfId="15" applyNumberFormat="1" applyFont="1" applyBorder="1" applyAlignment="1">
      <alignment vertical="center" wrapText="1"/>
    </xf>
    <xf numFmtId="172" fontId="13" fillId="0" borderId="58" xfId="20" applyNumberFormat="1" applyFont="1" applyBorder="1" applyAlignment="1">
      <alignment horizontal="center" vertical="center" wrapText="1"/>
    </xf>
    <xf numFmtId="3" fontId="13" fillId="0" borderId="59" xfId="15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horizontal="center" vertical="center" wrapText="1"/>
    </xf>
    <xf numFmtId="3" fontId="24" fillId="0" borderId="61" xfId="0" applyNumberFormat="1" applyFont="1" applyBorder="1" applyAlignment="1">
      <alignment horizontal="right" vertical="center" wrapText="1"/>
    </xf>
    <xf numFmtId="3" fontId="24" fillId="0" borderId="61" xfId="0" applyNumberFormat="1" applyFont="1" applyBorder="1" applyAlignment="1">
      <alignment vertical="center" wrapText="1"/>
    </xf>
    <xf numFmtId="3" fontId="24" fillId="0" borderId="61" xfId="15" applyNumberFormat="1" applyFont="1" applyBorder="1" applyAlignment="1">
      <alignment vertical="center" wrapText="1"/>
    </xf>
    <xf numFmtId="3" fontId="13" fillId="0" borderId="61" xfId="15" applyNumberFormat="1" applyFont="1" applyBorder="1" applyAlignment="1">
      <alignment vertical="center" wrapText="1"/>
    </xf>
    <xf numFmtId="3" fontId="13" fillId="0" borderId="62" xfId="15" applyNumberFormat="1" applyFont="1" applyBorder="1" applyAlignment="1">
      <alignment vertical="center" wrapText="1"/>
    </xf>
    <xf numFmtId="0" fontId="3" fillId="0" borderId="63" xfId="0" applyFont="1" applyBorder="1" applyAlignment="1">
      <alignment vertical="center"/>
    </xf>
    <xf numFmtId="169" fontId="3" fillId="0" borderId="12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10" fontId="0" fillId="0" borderId="0" xfId="20" applyNumberFormat="1" applyAlignment="1">
      <alignment/>
    </xf>
    <xf numFmtId="169" fontId="23" fillId="0" borderId="1" xfId="15" applyNumberFormat="1" applyFont="1" applyBorder="1" applyAlignment="1">
      <alignment horizontal="right" vertical="center" wrapText="1"/>
    </xf>
    <xf numFmtId="169" fontId="27" fillId="0" borderId="1" xfId="15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168" fontId="27" fillId="0" borderId="1" xfId="15" applyNumberFormat="1" applyFont="1" applyBorder="1" applyAlignment="1">
      <alignment horizontal="right" vertical="center" wrapText="1"/>
    </xf>
    <xf numFmtId="169" fontId="23" fillId="0" borderId="1" xfId="15" applyNumberFormat="1" applyFont="1" applyBorder="1" applyAlignment="1">
      <alignment horizontal="left" vertical="center" wrapText="1"/>
    </xf>
    <xf numFmtId="168" fontId="27" fillId="0" borderId="1" xfId="15" applyNumberFormat="1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vertical="center" wrapText="1"/>
    </xf>
    <xf numFmtId="168" fontId="27" fillId="0" borderId="1" xfId="0" applyNumberFormat="1" applyFont="1" applyBorder="1" applyAlignment="1">
      <alignment horizontal="right" vertical="center" wrapText="1"/>
    </xf>
    <xf numFmtId="178" fontId="0" fillId="0" borderId="8" xfId="0" applyNumberFormat="1" applyBorder="1" applyAlignment="1">
      <alignment horizontal="right" vertical="center"/>
    </xf>
    <xf numFmtId="3" fontId="3" fillId="0" borderId="1" xfId="15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3" xfId="15" applyNumberFormat="1" applyFont="1" applyBorder="1" applyAlignment="1">
      <alignment vertical="center"/>
    </xf>
    <xf numFmtId="3" fontId="0" fillId="0" borderId="4" xfId="15" applyNumberFormat="1" applyFont="1" applyBorder="1" applyAlignment="1">
      <alignment vertical="center"/>
    </xf>
    <xf numFmtId="3" fontId="0" fillId="0" borderId="2" xfId="15" applyNumberFormat="1" applyFont="1" applyBorder="1" applyAlignment="1">
      <alignment vertical="center"/>
    </xf>
    <xf numFmtId="169" fontId="3" fillId="0" borderId="6" xfId="15" applyNumberFormat="1" applyFont="1" applyBorder="1" applyAlignment="1">
      <alignment vertical="center"/>
    </xf>
    <xf numFmtId="169" fontId="3" fillId="0" borderId="7" xfId="15" applyNumberFormat="1" applyFont="1" applyBorder="1" applyAlignment="1">
      <alignment vertical="center"/>
    </xf>
    <xf numFmtId="169" fontId="3" fillId="0" borderId="5" xfId="15" applyNumberFormat="1" applyFont="1" applyBorder="1" applyAlignment="1">
      <alignment vertic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3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6" fillId="0" borderId="44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179" fontId="0" fillId="0" borderId="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0" fillId="0" borderId="67" xfId="0" applyFont="1" applyBorder="1" applyAlignment="1">
      <alignment horizontal="left" vertical="center" wrapText="1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9" fontId="3" fillId="0" borderId="24" xfId="15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69" fontId="3" fillId="0" borderId="38" xfId="15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9" fontId="0" fillId="0" borderId="44" xfId="15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9" fontId="0" fillId="0" borderId="56" xfId="15" applyNumberFormat="1" applyFont="1" applyBorder="1" applyAlignment="1">
      <alignment horizontal="center" vertical="center"/>
    </xf>
    <xf numFmtId="169" fontId="0" fillId="0" borderId="50" xfId="15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169" fontId="3" fillId="0" borderId="29" xfId="15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 wrapText="1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3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 wrapText="1"/>
      <protection locked="0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Fill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4" fontId="10" fillId="0" borderId="5" xfId="18" applyNumberFormat="1" applyFont="1" applyBorder="1">
      <alignment/>
      <protection/>
    </xf>
    <xf numFmtId="0" fontId="10" fillId="0" borderId="5" xfId="18" applyNumberFormat="1" applyFont="1" applyBorder="1">
      <alignment/>
      <protection/>
    </xf>
    <xf numFmtId="4" fontId="10" fillId="0" borderId="3" xfId="18" applyNumberFormat="1" applyFont="1" applyBorder="1" applyAlignment="1">
      <alignment/>
      <protection/>
    </xf>
    <xf numFmtId="0" fontId="10" fillId="0" borderId="3" xfId="18" applyNumberFormat="1" applyFont="1" applyBorder="1" applyAlignment="1">
      <alignment/>
      <protection/>
    </xf>
    <xf numFmtId="4" fontId="10" fillId="0" borderId="4" xfId="18" applyNumberFormat="1" applyFont="1" applyBorder="1" applyAlignment="1">
      <alignment/>
      <protection/>
    </xf>
    <xf numFmtId="3" fontId="10" fillId="0" borderId="4" xfId="18" applyNumberFormat="1" applyFont="1" applyBorder="1">
      <alignment/>
      <protection/>
    </xf>
    <xf numFmtId="3" fontId="10" fillId="0" borderId="4" xfId="18" applyNumberFormat="1" applyFont="1" applyBorder="1" applyAlignment="1">
      <alignment/>
      <protection/>
    </xf>
    <xf numFmtId="4" fontId="10" fillId="0" borderId="2" xfId="18" applyNumberFormat="1" applyFont="1" applyBorder="1" applyAlignment="1">
      <alignment/>
      <protection/>
    </xf>
    <xf numFmtId="3" fontId="10" fillId="0" borderId="2" xfId="18" applyNumberFormat="1" applyFont="1" applyBorder="1" applyAlignment="1">
      <alignment/>
      <protection/>
    </xf>
    <xf numFmtId="4" fontId="10" fillId="0" borderId="5" xfId="18" applyNumberFormat="1" applyFont="1" applyBorder="1" applyAlignment="1">
      <alignment/>
      <protection/>
    </xf>
    <xf numFmtId="3" fontId="10" fillId="0" borderId="5" xfId="18" applyNumberFormat="1" applyFont="1" applyBorder="1" applyAlignment="1">
      <alignment/>
      <protection/>
    </xf>
    <xf numFmtId="4" fontId="10" fillId="0" borderId="2" xfId="18" applyNumberFormat="1" applyFont="1" applyBorder="1">
      <alignment/>
      <protection/>
    </xf>
    <xf numFmtId="0" fontId="10" fillId="0" borderId="17" xfId="18" applyFont="1" applyBorder="1">
      <alignment/>
      <protection/>
    </xf>
    <xf numFmtId="4" fontId="10" fillId="0" borderId="3" xfId="18" applyNumberFormat="1" applyFont="1" applyBorder="1">
      <alignment/>
      <protection/>
    </xf>
    <xf numFmtId="4" fontId="10" fillId="0" borderId="4" xfId="18" applyNumberFormat="1" applyFont="1" applyBorder="1">
      <alignment/>
      <protection/>
    </xf>
    <xf numFmtId="0" fontId="10" fillId="0" borderId="67" xfId="18" applyFont="1" applyBorder="1">
      <alignment/>
      <protection/>
    </xf>
    <xf numFmtId="0" fontId="10" fillId="0" borderId="7" xfId="18" applyFont="1" applyBorder="1" applyAlignment="1">
      <alignment vertical="center"/>
      <protection/>
    </xf>
    <xf numFmtId="0" fontId="10" fillId="0" borderId="19" xfId="18" applyFont="1" applyBorder="1" applyAlignment="1">
      <alignment vertical="center"/>
      <protection/>
    </xf>
    <xf numFmtId="0" fontId="10" fillId="0" borderId="16" xfId="18" applyFont="1" applyBorder="1" applyAlignment="1">
      <alignment vertical="center"/>
      <protection/>
    </xf>
    <xf numFmtId="3" fontId="10" fillId="0" borderId="67" xfId="18" applyNumberFormat="1" applyFont="1" applyBorder="1">
      <alignment/>
      <protection/>
    </xf>
    <xf numFmtId="0" fontId="10" fillId="0" borderId="69" xfId="18" applyFont="1" applyBorder="1">
      <alignment/>
      <protection/>
    </xf>
    <xf numFmtId="0" fontId="10" fillId="0" borderId="70" xfId="18" applyFont="1" applyBorder="1">
      <alignment/>
      <protection/>
    </xf>
    <xf numFmtId="0" fontId="10" fillId="0" borderId="71" xfId="18" applyFont="1" applyBorder="1">
      <alignment/>
      <protection/>
    </xf>
    <xf numFmtId="3" fontId="20" fillId="0" borderId="0" xfId="18" applyNumberFormat="1" applyFont="1">
      <alignment/>
      <protection/>
    </xf>
    <xf numFmtId="0" fontId="10" fillId="0" borderId="0" xfId="18" applyFont="1" applyBorder="1">
      <alignment/>
      <protection/>
    </xf>
    <xf numFmtId="3" fontId="10" fillId="0" borderId="0" xfId="18" applyNumberFormat="1" applyFont="1" applyBorder="1">
      <alignment/>
      <protection/>
    </xf>
    <xf numFmtId="3" fontId="27" fillId="0" borderId="1" xfId="15" applyNumberFormat="1" applyFont="1" applyBorder="1" applyAlignment="1">
      <alignment horizontal="right" vertical="center" wrapText="1"/>
    </xf>
    <xf numFmtId="3" fontId="23" fillId="0" borderId="1" xfId="15" applyNumberFormat="1" applyFont="1" applyBorder="1" applyAlignment="1">
      <alignment horizontal="right" vertical="center" wrapText="1"/>
    </xf>
    <xf numFmtId="3" fontId="22" fillId="0" borderId="42" xfId="15" applyNumberFormat="1" applyFont="1" applyBorder="1" applyAlignment="1">
      <alignment vertical="center"/>
    </xf>
    <xf numFmtId="172" fontId="22" fillId="0" borderId="42" xfId="15" applyNumberFormat="1" applyFont="1" applyBorder="1" applyAlignment="1">
      <alignment horizontal="center" vertical="center"/>
    </xf>
    <xf numFmtId="3" fontId="22" fillId="0" borderId="29" xfId="15" applyNumberFormat="1" applyFont="1" applyBorder="1" applyAlignment="1">
      <alignment vertical="center"/>
    </xf>
    <xf numFmtId="3" fontId="24" fillId="0" borderId="72" xfId="0" applyNumberFormat="1" applyFont="1" applyBorder="1" applyAlignment="1">
      <alignment vertical="center"/>
    </xf>
    <xf numFmtId="3" fontId="13" fillId="0" borderId="73" xfId="0" applyNumberFormat="1" applyFont="1" applyBorder="1" applyAlignment="1">
      <alignment horizontal="center" vertical="center" wrapText="1"/>
    </xf>
    <xf numFmtId="3" fontId="24" fillId="0" borderId="74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horizontal="right" vertical="center"/>
    </xf>
    <xf numFmtId="3" fontId="4" fillId="0" borderId="75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0" borderId="66" xfId="0" applyNumberFormat="1" applyFont="1" applyBorder="1" applyAlignment="1">
      <alignment vertical="center"/>
    </xf>
    <xf numFmtId="172" fontId="4" fillId="0" borderId="66" xfId="0" applyNumberFormat="1" applyFont="1" applyBorder="1" applyAlignment="1">
      <alignment horizontal="center" vertical="center"/>
    </xf>
    <xf numFmtId="3" fontId="4" fillId="0" borderId="77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4" xfId="0" applyBorder="1" applyAlignment="1">
      <alignment vertical="center" wrapText="1"/>
    </xf>
    <xf numFmtId="169" fontId="27" fillId="0" borderId="2" xfId="15" applyNumberFormat="1" applyFont="1" applyBorder="1" applyAlignment="1">
      <alignment horizontal="center" vertical="center" wrapText="1"/>
    </xf>
    <xf numFmtId="169" fontId="27" fillId="0" borderId="2" xfId="15" applyNumberFormat="1" applyFont="1" applyBorder="1" applyAlignment="1">
      <alignment horizontal="right" vertical="center" wrapText="1"/>
    </xf>
    <xf numFmtId="3" fontId="27" fillId="0" borderId="2" xfId="15" applyNumberFormat="1" applyFont="1" applyBorder="1" applyAlignment="1">
      <alignment horizontal="right" vertical="center" wrapText="1"/>
    </xf>
    <xf numFmtId="169" fontId="27" fillId="0" borderId="3" xfId="15" applyNumberFormat="1" applyFont="1" applyBorder="1" applyAlignment="1">
      <alignment horizontal="center" vertical="center" wrapText="1"/>
    </xf>
    <xf numFmtId="169" fontId="27" fillId="0" borderId="3" xfId="15" applyNumberFormat="1" applyFont="1" applyBorder="1" applyAlignment="1">
      <alignment horizontal="right" vertical="center" wrapText="1"/>
    </xf>
    <xf numFmtId="3" fontId="27" fillId="0" borderId="3" xfId="15" applyNumberFormat="1" applyFont="1" applyBorder="1" applyAlignment="1">
      <alignment horizontal="right" vertical="center" wrapText="1"/>
    </xf>
    <xf numFmtId="169" fontId="27" fillId="0" borderId="4" xfId="15" applyNumberFormat="1" applyFont="1" applyBorder="1" applyAlignment="1">
      <alignment horizontal="center" vertical="center" wrapText="1"/>
    </xf>
    <xf numFmtId="169" fontId="27" fillId="0" borderId="4" xfId="15" applyNumberFormat="1" applyFont="1" applyBorder="1" applyAlignment="1">
      <alignment horizontal="right" vertical="center" wrapText="1"/>
    </xf>
    <xf numFmtId="3" fontId="27" fillId="0" borderId="4" xfId="15" applyNumberFormat="1" applyFont="1" applyBorder="1" applyAlignment="1">
      <alignment horizontal="right" vertical="center" wrapText="1"/>
    </xf>
    <xf numFmtId="0" fontId="3" fillId="2" borderId="79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10" fontId="6" fillId="0" borderId="80" xfId="20" applyNumberFormat="1" applyFont="1" applyBorder="1" applyAlignment="1">
      <alignment vertical="center"/>
    </xf>
    <xf numFmtId="10" fontId="6" fillId="0" borderId="81" xfId="20" applyNumberFormat="1" applyFont="1" applyBorder="1" applyAlignment="1">
      <alignment vertical="center"/>
    </xf>
    <xf numFmtId="10" fontId="6" fillId="0" borderId="82" xfId="20" applyNumberFormat="1" applyFont="1" applyBorder="1" applyAlignment="1">
      <alignment vertical="center"/>
    </xf>
    <xf numFmtId="10" fontId="6" fillId="0" borderId="83" xfId="20" applyNumberFormat="1" applyFont="1" applyBorder="1" applyAlignment="1">
      <alignment vertical="center"/>
    </xf>
    <xf numFmtId="10" fontId="4" fillId="0" borderId="81" xfId="20" applyNumberFormat="1" applyFont="1" applyBorder="1" applyAlignment="1">
      <alignment vertical="center"/>
    </xf>
    <xf numFmtId="10" fontId="6" fillId="0" borderId="84" xfId="20" applyNumberFormat="1" applyFont="1" applyBorder="1" applyAlignment="1">
      <alignment vertical="center"/>
    </xf>
    <xf numFmtId="0" fontId="3" fillId="2" borderId="85" xfId="0" applyFont="1" applyFill="1" applyBorder="1" applyAlignment="1">
      <alignment horizontal="center" vertical="center"/>
    </xf>
    <xf numFmtId="3" fontId="4" fillId="0" borderId="86" xfId="15" applyNumberFormat="1" applyFont="1" applyBorder="1" applyAlignment="1">
      <alignment vertical="center"/>
    </xf>
    <xf numFmtId="3" fontId="3" fillId="0" borderId="87" xfId="15" applyNumberFormat="1" applyFont="1" applyBorder="1" applyAlignment="1">
      <alignment vertical="center"/>
    </xf>
    <xf numFmtId="3" fontId="0" fillId="0" borderId="87" xfId="15" applyNumberFormat="1" applyBorder="1" applyAlignment="1">
      <alignment vertical="center" wrapText="1"/>
    </xf>
    <xf numFmtId="3" fontId="15" fillId="0" borderId="87" xfId="15" applyNumberFormat="1" applyFont="1" applyBorder="1" applyAlignment="1">
      <alignment vertical="center"/>
    </xf>
    <xf numFmtId="3" fontId="0" fillId="0" borderId="87" xfId="15" applyNumberFormat="1" applyFont="1" applyBorder="1" applyAlignment="1">
      <alignment vertical="center"/>
    </xf>
    <xf numFmtId="3" fontId="0" fillId="0" borderId="87" xfId="15" applyNumberFormat="1" applyFont="1" applyBorder="1" applyAlignment="1">
      <alignment vertical="center" wrapText="1"/>
    </xf>
    <xf numFmtId="3" fontId="22" fillId="0" borderId="87" xfId="15" applyNumberFormat="1" applyFont="1" applyBorder="1" applyAlignment="1">
      <alignment vertical="center"/>
    </xf>
    <xf numFmtId="3" fontId="0" fillId="0" borderId="88" xfId="15" applyNumberFormat="1" applyFont="1" applyBorder="1" applyAlignment="1">
      <alignment vertical="center"/>
    </xf>
    <xf numFmtId="3" fontId="4" fillId="0" borderId="87" xfId="15" applyNumberFormat="1" applyFont="1" applyBorder="1" applyAlignment="1">
      <alignment vertical="center"/>
    </xf>
    <xf numFmtId="3" fontId="4" fillId="0" borderId="87" xfId="15" applyNumberFormat="1" applyFont="1" applyBorder="1" applyAlignment="1">
      <alignment vertical="center" wrapText="1"/>
    </xf>
    <xf numFmtId="3" fontId="3" fillId="0" borderId="87" xfId="15" applyNumberFormat="1" applyFont="1" applyBorder="1" applyAlignment="1">
      <alignment vertical="center" wrapText="1"/>
    </xf>
    <xf numFmtId="3" fontId="22" fillId="0" borderId="89" xfId="15" applyNumberFormat="1" applyFont="1" applyBorder="1" applyAlignment="1">
      <alignment vertical="center"/>
    </xf>
    <xf numFmtId="0" fontId="0" fillId="0" borderId="52" xfId="0" applyFont="1" applyBorder="1" applyAlignment="1">
      <alignment horizontal="right" vertical="center"/>
    </xf>
    <xf numFmtId="169" fontId="0" fillId="0" borderId="53" xfId="15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right" vertical="center"/>
    </xf>
    <xf numFmtId="169" fontId="0" fillId="0" borderId="44" xfId="15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6" xfId="0" applyFont="1" applyBorder="1" applyAlignment="1">
      <alignment/>
    </xf>
    <xf numFmtId="169" fontId="0" fillId="0" borderId="47" xfId="15" applyNumberFormat="1" applyFont="1" applyBorder="1" applyAlignment="1">
      <alignment/>
    </xf>
    <xf numFmtId="169" fontId="0" fillId="0" borderId="43" xfId="15" applyNumberFormat="1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0" fillId="0" borderId="51" xfId="0" applyFont="1" applyBorder="1" applyAlignment="1">
      <alignment/>
    </xf>
    <xf numFmtId="169" fontId="3" fillId="0" borderId="77" xfId="0" applyNumberFormat="1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69" fontId="3" fillId="0" borderId="41" xfId="15" applyNumberFormat="1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69" fontId="24" fillId="0" borderId="0" xfId="15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left" vertical="center" wrapText="1"/>
    </xf>
    <xf numFmtId="3" fontId="23" fillId="0" borderId="24" xfId="15" applyNumberFormat="1" applyFont="1" applyBorder="1" applyAlignment="1">
      <alignment horizontal="right" vertical="center" wrapText="1"/>
    </xf>
    <xf numFmtId="0" fontId="23" fillId="0" borderId="45" xfId="0" applyFont="1" applyBorder="1" applyAlignment="1">
      <alignment vertical="center" wrapText="1"/>
    </xf>
    <xf numFmtId="3" fontId="27" fillId="0" borderId="24" xfId="15" applyNumberFormat="1" applyFont="1" applyBorder="1" applyAlignment="1">
      <alignment horizontal="righ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5" xfId="0" applyFont="1" applyBorder="1" applyAlignment="1">
      <alignment vertical="center" wrapText="1"/>
    </xf>
    <xf numFmtId="0" fontId="27" fillId="0" borderId="49" xfId="0" applyFont="1" applyBorder="1" applyAlignment="1">
      <alignment horizontal="left" vertical="center" wrapText="1"/>
    </xf>
    <xf numFmtId="3" fontId="27" fillId="0" borderId="50" xfId="15" applyNumberFormat="1" applyFont="1" applyBorder="1" applyAlignment="1">
      <alignment horizontal="right" vertical="center" wrapText="1"/>
    </xf>
    <xf numFmtId="0" fontId="27" fillId="0" borderId="48" xfId="0" applyFont="1" applyBorder="1" applyAlignment="1">
      <alignment horizontal="left" vertical="center" wrapText="1"/>
    </xf>
    <xf numFmtId="3" fontId="27" fillId="0" borderId="44" xfId="15" applyNumberFormat="1" applyFont="1" applyBorder="1" applyAlignment="1">
      <alignment horizontal="right" vertical="center" wrapText="1"/>
    </xf>
    <xf numFmtId="0" fontId="27" fillId="0" borderId="55" xfId="0" applyFont="1" applyBorder="1" applyAlignment="1">
      <alignment horizontal="left" vertical="center" wrapText="1"/>
    </xf>
    <xf numFmtId="3" fontId="27" fillId="0" borderId="56" xfId="15" applyNumberFormat="1" applyFont="1" applyBorder="1" applyAlignment="1">
      <alignment horizontal="right" vertical="center" wrapText="1"/>
    </xf>
    <xf numFmtId="0" fontId="27" fillId="0" borderId="24" xfId="0" applyFont="1" applyBorder="1" applyAlignment="1">
      <alignment horizontal="right" vertical="center" wrapText="1"/>
    </xf>
    <xf numFmtId="168" fontId="27" fillId="0" borderId="24" xfId="15" applyNumberFormat="1" applyFont="1" applyBorder="1" applyAlignment="1">
      <alignment horizontal="right" vertical="center" wrapText="1"/>
    </xf>
    <xf numFmtId="168" fontId="27" fillId="0" borderId="24" xfId="0" applyNumberFormat="1" applyFont="1" applyBorder="1" applyAlignment="1">
      <alignment horizontal="right" vertical="center" wrapText="1"/>
    </xf>
    <xf numFmtId="0" fontId="24" fillId="0" borderId="68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3" fontId="10" fillId="0" borderId="3" xfId="15" applyNumberFormat="1" applyFont="1" applyBorder="1" applyAlignment="1">
      <alignment vertical="center" wrapText="1"/>
    </xf>
    <xf numFmtId="3" fontId="10" fillId="0" borderId="6" xfId="15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169" fontId="0" fillId="0" borderId="7" xfId="15" applyNumberFormat="1" applyFont="1" applyBorder="1" applyAlignment="1">
      <alignment horizontal="center" vertical="center"/>
    </xf>
    <xf numFmtId="169" fontId="0" fillId="0" borderId="0" xfId="0" applyNumberForma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6" xfId="0" applyBorder="1" applyAlignment="1">
      <alignment vertical="center" wrapText="1"/>
    </xf>
    <xf numFmtId="3" fontId="24" fillId="0" borderId="27" xfId="0" applyNumberFormat="1" applyFont="1" applyBorder="1" applyAlignment="1">
      <alignment vertical="center" wrapText="1"/>
    </xf>
    <xf numFmtId="3" fontId="24" fillId="0" borderId="95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6" fillId="2" borderId="96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9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3" fontId="24" fillId="0" borderId="68" xfId="0" applyNumberFormat="1" applyFont="1" applyBorder="1" applyAlignment="1">
      <alignment vertical="center" wrapText="1"/>
    </xf>
    <xf numFmtId="3" fontId="24" fillId="0" borderId="42" xfId="0" applyNumberFormat="1" applyFont="1" applyBorder="1" applyAlignment="1">
      <alignment vertical="center" wrapText="1"/>
    </xf>
    <xf numFmtId="3" fontId="24" fillId="0" borderId="26" xfId="0" applyNumberFormat="1" applyFon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9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99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100" xfId="0" applyFont="1" applyBorder="1" applyAlignment="1">
      <alignment vertical="center" wrapText="1"/>
    </xf>
    <xf numFmtId="0" fontId="4" fillId="0" borderId="99" xfId="0" applyFont="1" applyBorder="1" applyAlignment="1">
      <alignment wrapText="1"/>
    </xf>
    <xf numFmtId="0" fontId="4" fillId="0" borderId="67" xfId="0" applyFont="1" applyBorder="1" applyAlignment="1">
      <alignment wrapText="1"/>
    </xf>
    <xf numFmtId="0" fontId="4" fillId="0" borderId="100" xfId="0" applyFont="1" applyBorder="1" applyAlignment="1">
      <alignment wrapText="1"/>
    </xf>
    <xf numFmtId="0" fontId="22" fillId="0" borderId="99" xfId="0" applyFont="1" applyBorder="1" applyAlignment="1">
      <alignment wrapText="1"/>
    </xf>
    <xf numFmtId="0" fontId="22" fillId="0" borderId="67" xfId="0" applyFont="1" applyBorder="1" applyAlignment="1">
      <alignment wrapText="1"/>
    </xf>
    <xf numFmtId="0" fontId="22" fillId="0" borderId="100" xfId="0" applyFont="1" applyBorder="1" applyAlignment="1">
      <alignment wrapText="1"/>
    </xf>
    <xf numFmtId="0" fontId="4" fillId="0" borderId="9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2" borderId="101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 wrapText="1"/>
    </xf>
    <xf numFmtId="0" fontId="3" fillId="2" borderId="104" xfId="0" applyFont="1" applyFill="1" applyBorder="1" applyAlignment="1">
      <alignment horizontal="center" vertical="center"/>
    </xf>
    <xf numFmtId="3" fontId="23" fillId="0" borderId="0" xfId="15" applyNumberFormat="1" applyFont="1" applyBorder="1" applyAlignment="1">
      <alignment horizontal="center" vertical="center" wrapText="1"/>
    </xf>
    <xf numFmtId="3" fontId="23" fillId="0" borderId="18" xfId="15" applyNumberFormat="1" applyFont="1" applyBorder="1" applyAlignment="1">
      <alignment horizontal="center" vertical="center" wrapText="1"/>
    </xf>
    <xf numFmtId="0" fontId="16" fillId="2" borderId="105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0" borderId="91" xfId="18" applyFont="1" applyBorder="1" applyAlignment="1">
      <alignment horizontal="center" wrapText="1"/>
      <protection/>
    </xf>
    <xf numFmtId="0" fontId="13" fillId="0" borderId="25" xfId="18" applyFont="1" applyBorder="1" applyAlignment="1">
      <alignment horizontal="center" wrapText="1"/>
      <protection/>
    </xf>
    <xf numFmtId="0" fontId="13" fillId="0" borderId="106" xfId="18" applyFont="1" applyBorder="1" applyAlignment="1">
      <alignment horizontal="center" wrapText="1"/>
      <protection/>
    </xf>
    <xf numFmtId="0" fontId="10" fillId="0" borderId="3" xfId="18" applyFont="1" applyBorder="1" applyAlignment="1">
      <alignment horizontal="center" vertical="center"/>
      <protection/>
    </xf>
    <xf numFmtId="0" fontId="16" fillId="0" borderId="0" xfId="18" applyFont="1" applyAlignment="1">
      <alignment horizontal="center"/>
      <protection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0" borderId="91" xfId="18" applyFont="1" applyBorder="1" applyAlignment="1">
      <alignment horizontal="center"/>
      <protection/>
    </xf>
    <xf numFmtId="0" fontId="9" fillId="0" borderId="106" xfId="18" applyFont="1" applyBorder="1" applyAlignment="1">
      <alignment horizontal="center"/>
      <protection/>
    </xf>
    <xf numFmtId="0" fontId="9" fillId="2" borderId="1" xfId="18" applyFont="1" applyFill="1" applyBorder="1" applyAlignment="1">
      <alignment horizontal="center" vertical="center"/>
      <protection/>
    </xf>
    <xf numFmtId="0" fontId="10" fillId="0" borderId="2" xfId="18" applyFont="1" applyBorder="1" applyAlignment="1">
      <alignment horizontal="center" vertical="center"/>
      <protection/>
    </xf>
    <xf numFmtId="0" fontId="10" fillId="0" borderId="4" xfId="18" applyFont="1" applyBorder="1" applyAlignment="1">
      <alignment horizontal="center" vertical="center"/>
      <protection/>
    </xf>
    <xf numFmtId="0" fontId="13" fillId="0" borderId="91" xfId="18" applyFont="1" applyBorder="1" applyAlignment="1">
      <alignment horizontal="center"/>
      <protection/>
    </xf>
    <xf numFmtId="0" fontId="13" fillId="0" borderId="25" xfId="18" applyFont="1" applyBorder="1" applyAlignment="1">
      <alignment horizontal="center"/>
      <protection/>
    </xf>
    <xf numFmtId="0" fontId="13" fillId="0" borderId="106" xfId="18" applyFont="1" applyBorder="1" applyAlignment="1">
      <alignment horizontal="center"/>
      <protection/>
    </xf>
    <xf numFmtId="0" fontId="10" fillId="0" borderId="1" xfId="18" applyFont="1" applyBorder="1" applyAlignment="1">
      <alignment horizontal="center" vertical="center"/>
      <protection/>
    </xf>
    <xf numFmtId="0" fontId="10" fillId="0" borderId="7" xfId="18" applyFont="1" applyBorder="1" applyAlignment="1">
      <alignment horizontal="center" vertical="center"/>
      <protection/>
    </xf>
    <xf numFmtId="0" fontId="10" fillId="0" borderId="19" xfId="18" applyFont="1" applyBorder="1" applyAlignment="1">
      <alignment horizontal="center" vertical="center"/>
      <protection/>
    </xf>
    <xf numFmtId="0" fontId="10" fillId="0" borderId="16" xfId="18" applyFont="1" applyBorder="1" applyAlignment="1">
      <alignment horizontal="center" vertical="center"/>
      <protection/>
    </xf>
    <xf numFmtId="0" fontId="20" fillId="0" borderId="0" xfId="18" applyFont="1" applyAlignment="1">
      <alignment horizontal="left"/>
      <protection/>
    </xf>
    <xf numFmtId="0" fontId="10" fillId="0" borderId="0" xfId="18" applyFont="1" applyBorder="1" applyAlignment="1">
      <alignment horizontal="center" vertical="center"/>
      <protection/>
    </xf>
    <xf numFmtId="0" fontId="13" fillId="0" borderId="0" xfId="18" applyFont="1" applyBorder="1" applyAlignment="1">
      <alignment horizontal="center" wrapText="1"/>
      <protection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0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9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0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2" borderId="91" xfId="0" applyFont="1" applyFill="1" applyBorder="1" applyAlignment="1">
      <alignment horizontal="center" vertical="center" wrapText="1"/>
    </xf>
    <xf numFmtId="0" fontId="23" fillId="2" borderId="96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05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10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3933825</xdr:colOff>
      <xdr:row>0</xdr:row>
      <xdr:rowOff>66675</xdr:rowOff>
    </xdr:from>
    <xdr:to>
      <xdr:col>5</xdr:col>
      <xdr:colOff>1314450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39050" y="66675"/>
          <a:ext cx="26955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1
do uchwały nr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XXXI/207/2008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
Rady Miejskiej w Jelczu-Laskowicach
z dnia :  1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9 grudnia 2008 r.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31.875" style="0" customWidth="1"/>
    <col min="2" max="2" width="9.625" style="0" customWidth="1"/>
    <col min="3" max="3" width="7.125" style="0" customWidth="1"/>
    <col min="4" max="4" width="69.75390625" style="0" customWidth="1"/>
    <col min="5" max="5" width="2.00390625" style="0" hidden="1" customWidth="1"/>
    <col min="6" max="6" width="19.125" style="0" customWidth="1"/>
    <col min="7" max="7" width="12.00390625" style="0" hidden="1" customWidth="1"/>
    <col min="8" max="8" width="21.00390625" style="0" customWidth="1"/>
  </cols>
  <sheetData>
    <row r="1" ht="12.75">
      <c r="F1" s="61"/>
    </row>
    <row r="2" ht="12.75">
      <c r="F2" s="61"/>
    </row>
    <row r="3" ht="12.75">
      <c r="F3" s="61"/>
    </row>
    <row r="4" ht="12.75">
      <c r="F4" s="61"/>
    </row>
    <row r="5" ht="12.75">
      <c r="G5" t="s">
        <v>25</v>
      </c>
    </row>
    <row r="6" spans="2:8" ht="18">
      <c r="B6" s="679" t="s">
        <v>490</v>
      </c>
      <c r="C6" s="679"/>
      <c r="D6" s="679"/>
      <c r="E6" s="679"/>
      <c r="F6" s="679"/>
      <c r="G6" s="679"/>
      <c r="H6" s="2"/>
    </row>
    <row r="7" spans="2:6" ht="12" customHeight="1" thickBot="1">
      <c r="B7" s="2"/>
      <c r="C7" s="2"/>
      <c r="D7" s="2"/>
      <c r="E7" s="2"/>
      <c r="F7" s="2"/>
    </row>
    <row r="8" spans="2:6" ht="16.5" customHeight="1" hidden="1">
      <c r="B8" s="2"/>
      <c r="C8" s="2"/>
      <c r="D8" s="2"/>
      <c r="E8" s="2"/>
      <c r="F8" s="2"/>
    </row>
    <row r="9" spans="7:8" ht="12.75" hidden="1">
      <c r="G9" s="17" t="s">
        <v>58</v>
      </c>
      <c r="H9" s="17"/>
    </row>
    <row r="10" spans="1:8" s="52" customFormat="1" ht="15" customHeight="1">
      <c r="A10" s="680" t="s">
        <v>2</v>
      </c>
      <c r="B10" s="682" t="s">
        <v>3</v>
      </c>
      <c r="C10" s="682" t="s">
        <v>4</v>
      </c>
      <c r="D10" s="682" t="s">
        <v>124</v>
      </c>
      <c r="E10" s="224" t="s">
        <v>489</v>
      </c>
      <c r="F10" s="573" t="s">
        <v>649</v>
      </c>
      <c r="G10" s="684" t="s">
        <v>458</v>
      </c>
      <c r="H10" s="212"/>
    </row>
    <row r="11" spans="1:8" s="52" customFormat="1" ht="18.75" customHeight="1" thickBot="1">
      <c r="A11" s="681"/>
      <c r="B11" s="683"/>
      <c r="C11" s="683"/>
      <c r="D11" s="683"/>
      <c r="E11" s="225"/>
      <c r="F11" s="565"/>
      <c r="G11" s="685"/>
      <c r="H11" s="213"/>
    </row>
    <row r="12" spans="1:7" s="56" customFormat="1" ht="29.25" customHeight="1">
      <c r="A12" s="426"/>
      <c r="B12" s="427"/>
      <c r="C12" s="428"/>
      <c r="D12" s="429" t="s">
        <v>470</v>
      </c>
      <c r="E12" s="252">
        <f>+E13+E20+E24+E48+E49+E50+E51+E54+E61+E66</f>
        <v>42912871</v>
      </c>
      <c r="F12" s="574">
        <f>+F13+F20+F24+F48+F49+F50+F51+F54+F61+F66</f>
        <v>46817513</v>
      </c>
      <c r="G12" s="567">
        <f aca="true" t="shared" si="0" ref="G12:G73">+F12/E12</f>
        <v>1.0909899969172419</v>
      </c>
    </row>
    <row r="13" spans="1:8" ht="32.25" customHeight="1">
      <c r="A13" s="661" t="s">
        <v>176</v>
      </c>
      <c r="B13" s="662"/>
      <c r="C13" s="662"/>
      <c r="D13" s="663"/>
      <c r="E13" s="238">
        <f>+E14+E15+E19</f>
        <v>1897000</v>
      </c>
      <c r="F13" s="575">
        <f>+F14+F15+F19</f>
        <v>1912000</v>
      </c>
      <c r="G13" s="568">
        <f t="shared" si="0"/>
        <v>1.007907221929362</v>
      </c>
      <c r="H13" s="214"/>
    </row>
    <row r="14" spans="1:8" ht="27" customHeight="1">
      <c r="A14" s="83" t="s">
        <v>25</v>
      </c>
      <c r="B14" s="77">
        <v>70005</v>
      </c>
      <c r="C14" s="221" t="s">
        <v>177</v>
      </c>
      <c r="D14" s="79" t="s">
        <v>178</v>
      </c>
      <c r="E14" s="240">
        <v>351000</v>
      </c>
      <c r="F14" s="576">
        <v>345000</v>
      </c>
      <c r="G14" s="568">
        <f t="shared" si="0"/>
        <v>0.9829059829059829</v>
      </c>
      <c r="H14" s="215"/>
    </row>
    <row r="15" spans="1:8" ht="38.25">
      <c r="A15" s="84"/>
      <c r="B15" s="78"/>
      <c r="C15" s="221" t="s">
        <v>180</v>
      </c>
      <c r="D15" s="79" t="s">
        <v>534</v>
      </c>
      <c r="E15" s="240">
        <f>SUM(E16:E18)</f>
        <v>1531000</v>
      </c>
      <c r="F15" s="576">
        <f>SUM(F16:F18)</f>
        <v>1552000</v>
      </c>
      <c r="G15" s="568">
        <f t="shared" si="0"/>
        <v>1.0137165251469629</v>
      </c>
      <c r="H15" s="215"/>
    </row>
    <row r="16" spans="1:8" ht="15">
      <c r="A16" s="84"/>
      <c r="B16" s="78"/>
      <c r="C16" s="221"/>
      <c r="D16" s="80" t="s">
        <v>181</v>
      </c>
      <c r="E16" s="241">
        <v>1280000</v>
      </c>
      <c r="F16" s="577">
        <f>1280000</f>
        <v>1280000</v>
      </c>
      <c r="G16" s="568">
        <f t="shared" si="0"/>
        <v>1</v>
      </c>
      <c r="H16" s="216" t="s">
        <v>491</v>
      </c>
    </row>
    <row r="17" spans="1:8" ht="15">
      <c r="A17" s="84"/>
      <c r="B17" s="78"/>
      <c r="C17" s="221"/>
      <c r="D17" s="80" t="s">
        <v>182</v>
      </c>
      <c r="E17" s="241">
        <v>115000</v>
      </c>
      <c r="F17" s="577">
        <v>115000</v>
      </c>
      <c r="G17" s="568">
        <f t="shared" si="0"/>
        <v>1</v>
      </c>
      <c r="H17" s="216"/>
    </row>
    <row r="18" spans="1:8" ht="15">
      <c r="A18" s="84"/>
      <c r="B18" s="78"/>
      <c r="C18" s="221"/>
      <c r="D18" s="80" t="s">
        <v>183</v>
      </c>
      <c r="E18" s="242">
        <v>136000</v>
      </c>
      <c r="F18" s="577">
        <v>157000</v>
      </c>
      <c r="G18" s="568">
        <f t="shared" si="0"/>
        <v>1.1544117647058822</v>
      </c>
      <c r="H18" s="216"/>
    </row>
    <row r="19" spans="1:8" ht="15">
      <c r="A19" s="84"/>
      <c r="B19" s="78"/>
      <c r="C19" s="221" t="s">
        <v>192</v>
      </c>
      <c r="D19" s="82" t="s">
        <v>187</v>
      </c>
      <c r="E19" s="243">
        <v>15000</v>
      </c>
      <c r="F19" s="578">
        <v>15000</v>
      </c>
      <c r="G19" s="568">
        <f t="shared" si="0"/>
        <v>1</v>
      </c>
      <c r="H19" s="215"/>
    </row>
    <row r="20" spans="1:8" ht="15.75">
      <c r="A20" s="664" t="s">
        <v>225</v>
      </c>
      <c r="B20" s="665"/>
      <c r="C20" s="665"/>
      <c r="D20" s="666"/>
      <c r="E20" s="239">
        <f>SUM(E21:E23)</f>
        <v>123400</v>
      </c>
      <c r="F20" s="575">
        <f>SUM(F21:F23)</f>
        <v>112216</v>
      </c>
      <c r="G20" s="568">
        <f t="shared" si="0"/>
        <v>0.9093679092382496</v>
      </c>
      <c r="H20" s="215"/>
    </row>
    <row r="21" spans="1:8" ht="18" customHeight="1">
      <c r="A21" s="83"/>
      <c r="B21" s="77">
        <v>75023</v>
      </c>
      <c r="C21" s="221" t="s">
        <v>175</v>
      </c>
      <c r="D21" s="82" t="s">
        <v>188</v>
      </c>
      <c r="E21" s="243">
        <v>68000</v>
      </c>
      <c r="F21" s="578">
        <v>60000</v>
      </c>
      <c r="G21" s="568">
        <f>+F21/E21</f>
        <v>0.8823529411764706</v>
      </c>
      <c r="H21" s="215"/>
    </row>
    <row r="22" spans="1:8" ht="18" customHeight="1">
      <c r="A22" s="84"/>
      <c r="B22" s="78"/>
      <c r="C22" s="221" t="s">
        <v>189</v>
      </c>
      <c r="D22" s="82" t="s">
        <v>190</v>
      </c>
      <c r="E22" s="243">
        <v>53000</v>
      </c>
      <c r="F22" s="578">
        <v>50000</v>
      </c>
      <c r="G22" s="568">
        <f t="shared" si="0"/>
        <v>0.9433962264150944</v>
      </c>
      <c r="H22" s="215"/>
    </row>
    <row r="23" spans="1:8" ht="25.5">
      <c r="A23" s="84"/>
      <c r="B23" s="78"/>
      <c r="C23" s="221">
        <v>2360</v>
      </c>
      <c r="D23" s="81" t="s">
        <v>191</v>
      </c>
      <c r="E23" s="244">
        <v>2400</v>
      </c>
      <c r="F23" s="579">
        <v>2216</v>
      </c>
      <c r="G23" s="568">
        <f t="shared" si="0"/>
        <v>0.9233333333333333</v>
      </c>
      <c r="H23" s="215"/>
    </row>
    <row r="24" spans="1:8" ht="30" customHeight="1">
      <c r="A24" s="667" t="s">
        <v>479</v>
      </c>
      <c r="B24" s="668"/>
      <c r="C24" s="668"/>
      <c r="D24" s="669"/>
      <c r="E24" s="245">
        <f>SUM(E25:E47)</f>
        <v>25416759</v>
      </c>
      <c r="F24" s="580">
        <f>SUM(F25:F47)</f>
        <v>29345369</v>
      </c>
      <c r="G24" s="568">
        <f t="shared" si="0"/>
        <v>1.1545677007835657</v>
      </c>
      <c r="H24" s="217"/>
    </row>
    <row r="25" spans="1:8" ht="30" customHeight="1">
      <c r="A25" s="85"/>
      <c r="B25" s="77">
        <v>75601</v>
      </c>
      <c r="C25" s="221" t="s">
        <v>193</v>
      </c>
      <c r="D25" s="81" t="s">
        <v>253</v>
      </c>
      <c r="E25" s="244">
        <v>56000</v>
      </c>
      <c r="F25" s="579">
        <v>60000</v>
      </c>
      <c r="G25" s="568">
        <f t="shared" si="0"/>
        <v>1.0714285714285714</v>
      </c>
      <c r="H25" s="215"/>
    </row>
    <row r="26" spans="1:8" ht="15">
      <c r="A26" s="85"/>
      <c r="B26" s="77"/>
      <c r="C26" s="221" t="s">
        <v>194</v>
      </c>
      <c r="D26" s="81" t="s">
        <v>195</v>
      </c>
      <c r="E26" s="243">
        <v>2000</v>
      </c>
      <c r="F26" s="578">
        <v>2000</v>
      </c>
      <c r="G26" s="568">
        <f t="shared" si="0"/>
        <v>1</v>
      </c>
      <c r="H26" s="215"/>
    </row>
    <row r="27" spans="1:8" ht="18" customHeight="1">
      <c r="A27" s="85"/>
      <c r="B27" s="77">
        <v>75615</v>
      </c>
      <c r="C27" s="221" t="s">
        <v>196</v>
      </c>
      <c r="D27" s="82" t="s">
        <v>197</v>
      </c>
      <c r="E27" s="243">
        <f>11442800+38006-980806</f>
        <v>10500000</v>
      </c>
      <c r="F27" s="578">
        <v>11600000</v>
      </c>
      <c r="G27" s="568">
        <f t="shared" si="0"/>
        <v>1.1047619047619048</v>
      </c>
      <c r="H27" s="215"/>
    </row>
    <row r="28" spans="1:8" ht="18" customHeight="1">
      <c r="A28" s="85"/>
      <c r="B28" s="77"/>
      <c r="C28" s="221" t="s">
        <v>198</v>
      </c>
      <c r="D28" s="82" t="s">
        <v>199</v>
      </c>
      <c r="E28" s="243">
        <v>64000</v>
      </c>
      <c r="F28" s="578">
        <v>67000</v>
      </c>
      <c r="G28" s="568">
        <f t="shared" si="0"/>
        <v>1.046875</v>
      </c>
      <c r="H28" s="215"/>
    </row>
    <row r="29" spans="1:8" ht="18" customHeight="1">
      <c r="A29" s="85"/>
      <c r="B29" s="78"/>
      <c r="C29" s="221" t="s">
        <v>200</v>
      </c>
      <c r="D29" s="82" t="s">
        <v>201</v>
      </c>
      <c r="E29" s="243">
        <v>87000</v>
      </c>
      <c r="F29" s="578">
        <v>91000</v>
      </c>
      <c r="G29" s="568">
        <f t="shared" si="0"/>
        <v>1.0459770114942528</v>
      </c>
      <c r="H29" s="215"/>
    </row>
    <row r="30" spans="1:8" ht="18" customHeight="1">
      <c r="A30" s="85"/>
      <c r="B30" s="78"/>
      <c r="C30" s="221" t="s">
        <v>202</v>
      </c>
      <c r="D30" s="82" t="s">
        <v>203</v>
      </c>
      <c r="E30" s="243">
        <v>95800</v>
      </c>
      <c r="F30" s="578">
        <v>100000</v>
      </c>
      <c r="G30" s="568">
        <f t="shared" si="0"/>
        <v>1.0438413361169103</v>
      </c>
      <c r="H30" s="215"/>
    </row>
    <row r="31" spans="1:8" ht="18" customHeight="1">
      <c r="A31" s="85"/>
      <c r="B31" s="78"/>
      <c r="C31" s="221" t="s">
        <v>204</v>
      </c>
      <c r="D31" s="82" t="s">
        <v>205</v>
      </c>
      <c r="E31" s="243">
        <f>15000+135000</f>
        <v>150000</v>
      </c>
      <c r="F31" s="578">
        <v>160000</v>
      </c>
      <c r="G31" s="568">
        <f t="shared" si="0"/>
        <v>1.0666666666666667</v>
      </c>
      <c r="H31" s="215"/>
    </row>
    <row r="32" spans="1:8" ht="15">
      <c r="A32" s="85"/>
      <c r="B32" s="78"/>
      <c r="C32" s="221" t="s">
        <v>194</v>
      </c>
      <c r="D32" s="81" t="s">
        <v>195</v>
      </c>
      <c r="E32" s="243">
        <v>45000</v>
      </c>
      <c r="F32" s="578">
        <v>50000</v>
      </c>
      <c r="G32" s="568">
        <f t="shared" si="0"/>
        <v>1.1111111111111112</v>
      </c>
      <c r="H32" s="215"/>
    </row>
    <row r="33" spans="1:8" ht="15">
      <c r="A33" s="85"/>
      <c r="B33" s="78"/>
      <c r="C33" s="221">
        <v>2680</v>
      </c>
      <c r="D33" s="81" t="s">
        <v>494</v>
      </c>
      <c r="E33" s="243">
        <v>23460</v>
      </c>
      <c r="F33" s="578">
        <v>24150</v>
      </c>
      <c r="G33" s="568">
        <f t="shared" si="0"/>
        <v>1.0294117647058822</v>
      </c>
      <c r="H33" s="215"/>
    </row>
    <row r="34" spans="1:8" ht="18" customHeight="1">
      <c r="A34" s="85"/>
      <c r="B34" s="77">
        <v>75616</v>
      </c>
      <c r="C34" s="221" t="s">
        <v>196</v>
      </c>
      <c r="D34" s="82" t="s">
        <v>197</v>
      </c>
      <c r="E34" s="243">
        <v>2250000</v>
      </c>
      <c r="F34" s="578">
        <v>2450000</v>
      </c>
      <c r="G34" s="568">
        <f t="shared" si="0"/>
        <v>1.0888888888888888</v>
      </c>
      <c r="H34" s="215"/>
    </row>
    <row r="35" spans="1:8" ht="18" customHeight="1">
      <c r="A35" s="85"/>
      <c r="B35" s="78"/>
      <c r="C35" s="221" t="s">
        <v>198</v>
      </c>
      <c r="D35" s="82" t="s">
        <v>199</v>
      </c>
      <c r="E35" s="243">
        <v>550000</v>
      </c>
      <c r="F35" s="578">
        <v>570000</v>
      </c>
      <c r="G35" s="568">
        <f t="shared" si="0"/>
        <v>1.0363636363636364</v>
      </c>
      <c r="H35" s="215"/>
    </row>
    <row r="36" spans="1:8" ht="18" customHeight="1">
      <c r="A36" s="84"/>
      <c r="B36" s="78"/>
      <c r="C36" s="221" t="s">
        <v>200</v>
      </c>
      <c r="D36" s="82" t="s">
        <v>201</v>
      </c>
      <c r="E36" s="243">
        <v>1400</v>
      </c>
      <c r="F36" s="578">
        <v>1700</v>
      </c>
      <c r="G36" s="568">
        <f t="shared" si="0"/>
        <v>1.2142857142857142</v>
      </c>
      <c r="H36" s="215"/>
    </row>
    <row r="37" spans="1:8" ht="18" customHeight="1">
      <c r="A37" s="226"/>
      <c r="B37" s="227"/>
      <c r="C37" s="223" t="s">
        <v>202</v>
      </c>
      <c r="D37" s="228" t="s">
        <v>203</v>
      </c>
      <c r="E37" s="246">
        <v>146800</v>
      </c>
      <c r="F37" s="581">
        <v>190000</v>
      </c>
      <c r="G37" s="569">
        <f t="shared" si="0"/>
        <v>1.2942779291553133</v>
      </c>
      <c r="H37" s="215"/>
    </row>
    <row r="38" spans="1:8" ht="18" customHeight="1">
      <c r="A38" s="84"/>
      <c r="B38" s="78"/>
      <c r="C38" s="221" t="s">
        <v>206</v>
      </c>
      <c r="D38" s="82" t="s">
        <v>207</v>
      </c>
      <c r="E38" s="243">
        <v>130000</v>
      </c>
      <c r="F38" s="578">
        <v>130000</v>
      </c>
      <c r="G38" s="570">
        <f t="shared" si="0"/>
        <v>1</v>
      </c>
      <c r="H38" s="215"/>
    </row>
    <row r="39" spans="1:8" ht="18" customHeight="1">
      <c r="A39" s="84"/>
      <c r="B39" s="78"/>
      <c r="C39" s="221" t="s">
        <v>208</v>
      </c>
      <c r="D39" s="82" t="s">
        <v>209</v>
      </c>
      <c r="E39" s="243">
        <v>145000</v>
      </c>
      <c r="F39" s="578">
        <v>150000</v>
      </c>
      <c r="G39" s="568">
        <f t="shared" si="0"/>
        <v>1.0344827586206897</v>
      </c>
      <c r="H39" s="215"/>
    </row>
    <row r="40" spans="1:8" ht="18" customHeight="1">
      <c r="A40" s="84"/>
      <c r="B40" s="78"/>
      <c r="C40" s="221" t="s">
        <v>204</v>
      </c>
      <c r="D40" s="82" t="s">
        <v>210</v>
      </c>
      <c r="E40" s="243">
        <v>701400</v>
      </c>
      <c r="F40" s="578">
        <v>700000</v>
      </c>
      <c r="G40" s="568">
        <f t="shared" si="0"/>
        <v>0.998003992015968</v>
      </c>
      <c r="H40" s="215"/>
    </row>
    <row r="41" spans="1:8" ht="15">
      <c r="A41" s="84"/>
      <c r="B41" s="78"/>
      <c r="C41" s="221" t="s">
        <v>194</v>
      </c>
      <c r="D41" s="81" t="s">
        <v>195</v>
      </c>
      <c r="E41" s="243">
        <v>41000</v>
      </c>
      <c r="F41" s="578">
        <v>42000</v>
      </c>
      <c r="G41" s="568">
        <f t="shared" si="0"/>
        <v>1.024390243902439</v>
      </c>
      <c r="H41" s="215"/>
    </row>
    <row r="42" spans="1:8" ht="15" hidden="1">
      <c r="A42" s="84"/>
      <c r="B42" s="78"/>
      <c r="C42" s="221">
        <v>2680</v>
      </c>
      <c r="D42" s="81" t="s">
        <v>494</v>
      </c>
      <c r="E42" s="243">
        <v>449</v>
      </c>
      <c r="F42" s="578"/>
      <c r="G42" s="568">
        <f t="shared" si="0"/>
        <v>0</v>
      </c>
      <c r="H42" s="215"/>
    </row>
    <row r="43" spans="1:8" ht="19.5" customHeight="1">
      <c r="A43" s="84"/>
      <c r="B43" s="77">
        <v>75618</v>
      </c>
      <c r="C43" s="221" t="s">
        <v>211</v>
      </c>
      <c r="D43" s="82" t="s">
        <v>212</v>
      </c>
      <c r="E43" s="243">
        <v>84000</v>
      </c>
      <c r="F43" s="578">
        <v>85000</v>
      </c>
      <c r="G43" s="568">
        <f t="shared" si="0"/>
        <v>1.0119047619047619</v>
      </c>
      <c r="H43" s="215"/>
    </row>
    <row r="44" spans="1:8" ht="19.5" customHeight="1">
      <c r="A44" s="84"/>
      <c r="B44" s="77"/>
      <c r="C44" s="221" t="s">
        <v>213</v>
      </c>
      <c r="D44" s="82" t="s">
        <v>230</v>
      </c>
      <c r="E44" s="243">
        <v>285000</v>
      </c>
      <c r="F44" s="578">
        <f>285000+20000</f>
        <v>305000</v>
      </c>
      <c r="G44" s="568">
        <f t="shared" si="0"/>
        <v>1.0701754385964912</v>
      </c>
      <c r="H44" s="215"/>
    </row>
    <row r="45" spans="1:8" ht="28.5" customHeight="1">
      <c r="A45" s="84"/>
      <c r="B45" s="77"/>
      <c r="C45" s="221" t="s">
        <v>179</v>
      </c>
      <c r="D45" s="81" t="s">
        <v>471</v>
      </c>
      <c r="E45" s="243">
        <v>35000</v>
      </c>
      <c r="F45" s="578">
        <v>25000</v>
      </c>
      <c r="G45" s="568">
        <f t="shared" si="0"/>
        <v>0.7142857142857143</v>
      </c>
      <c r="H45" s="215"/>
    </row>
    <row r="46" spans="1:8" ht="18" customHeight="1">
      <c r="A46" s="84"/>
      <c r="B46" s="77">
        <v>75621</v>
      </c>
      <c r="C46" s="221" t="s">
        <v>214</v>
      </c>
      <c r="D46" s="82" t="s">
        <v>215</v>
      </c>
      <c r="E46" s="243">
        <v>9223450</v>
      </c>
      <c r="F46" s="578">
        <v>11672519</v>
      </c>
      <c r="G46" s="568">
        <f t="shared" si="0"/>
        <v>1.2655263486005779</v>
      </c>
      <c r="H46" s="215"/>
    </row>
    <row r="47" spans="1:8" ht="18" customHeight="1">
      <c r="A47" s="84"/>
      <c r="B47" s="77"/>
      <c r="C47" s="439">
        <v>20</v>
      </c>
      <c r="D47" s="82" t="s">
        <v>216</v>
      </c>
      <c r="E47" s="243">
        <v>800000</v>
      </c>
      <c r="F47" s="578">
        <v>870000</v>
      </c>
      <c r="G47" s="568">
        <f t="shared" si="0"/>
        <v>1.0875</v>
      </c>
      <c r="H47" s="215"/>
    </row>
    <row r="48" spans="1:8" ht="18" customHeight="1">
      <c r="A48" s="86" t="s">
        <v>217</v>
      </c>
      <c r="B48" s="77">
        <v>75814</v>
      </c>
      <c r="C48" s="221" t="s">
        <v>192</v>
      </c>
      <c r="D48" s="82" t="s">
        <v>219</v>
      </c>
      <c r="E48" s="239">
        <v>55000</v>
      </c>
      <c r="F48" s="575">
        <v>80000</v>
      </c>
      <c r="G48" s="568">
        <f t="shared" si="0"/>
        <v>1.4545454545454546</v>
      </c>
      <c r="H48" s="218"/>
    </row>
    <row r="49" spans="1:8" ht="25.5">
      <c r="A49" s="234" t="s">
        <v>482</v>
      </c>
      <c r="B49" s="77">
        <v>80104</v>
      </c>
      <c r="C49" s="221">
        <v>2310</v>
      </c>
      <c r="D49" s="81" t="s">
        <v>495</v>
      </c>
      <c r="E49" s="244">
        <v>10502</v>
      </c>
      <c r="F49" s="579">
        <v>11000</v>
      </c>
      <c r="G49" s="568">
        <f t="shared" si="0"/>
        <v>1.0474195391354029</v>
      </c>
      <c r="H49" s="218"/>
    </row>
    <row r="50" spans="1:8" ht="19.5" customHeight="1">
      <c r="A50" s="86" t="s">
        <v>221</v>
      </c>
      <c r="B50" s="77">
        <v>85228</v>
      </c>
      <c r="C50" s="221" t="s">
        <v>222</v>
      </c>
      <c r="D50" s="82" t="s">
        <v>223</v>
      </c>
      <c r="E50" s="239">
        <v>26000</v>
      </c>
      <c r="F50" s="575">
        <v>26500</v>
      </c>
      <c r="G50" s="568">
        <f t="shared" si="0"/>
        <v>1.0192307692307692</v>
      </c>
      <c r="H50" s="218"/>
    </row>
    <row r="51" spans="1:8" ht="15.75">
      <c r="A51" s="673" t="s">
        <v>218</v>
      </c>
      <c r="B51" s="674"/>
      <c r="C51" s="674"/>
      <c r="D51" s="675"/>
      <c r="E51" s="247">
        <f>+E52+E53</f>
        <v>9179542</v>
      </c>
      <c r="F51" s="582">
        <f>+F52+F53</f>
        <v>9618775</v>
      </c>
      <c r="G51" s="571">
        <f t="shared" si="0"/>
        <v>1.047849119269785</v>
      </c>
      <c r="H51" s="214"/>
    </row>
    <row r="52" spans="1:8" ht="18" customHeight="1">
      <c r="A52" s="86" t="s">
        <v>217</v>
      </c>
      <c r="B52" s="77">
        <v>75801</v>
      </c>
      <c r="C52" s="221">
        <v>2920</v>
      </c>
      <c r="D52" s="81" t="s">
        <v>228</v>
      </c>
      <c r="E52" s="244">
        <v>8823107</v>
      </c>
      <c r="F52" s="579">
        <v>9348054</v>
      </c>
      <c r="G52" s="568">
        <f>+F52/E52</f>
        <v>1.0594968416454658</v>
      </c>
      <c r="H52" s="215"/>
    </row>
    <row r="53" spans="1:8" ht="18" customHeight="1">
      <c r="A53" s="84"/>
      <c r="B53" s="77">
        <v>75831</v>
      </c>
      <c r="C53" s="221">
        <v>2920</v>
      </c>
      <c r="D53" s="81" t="s">
        <v>220</v>
      </c>
      <c r="E53" s="244">
        <v>356435</v>
      </c>
      <c r="F53" s="579">
        <v>270721</v>
      </c>
      <c r="G53" s="568">
        <f>+F53/E53</f>
        <v>0.7595241769186528</v>
      </c>
      <c r="H53" s="215"/>
    </row>
    <row r="54" spans="1:8" ht="15.75">
      <c r="A54" s="670" t="s">
        <v>224</v>
      </c>
      <c r="B54" s="671"/>
      <c r="C54" s="671"/>
      <c r="D54" s="672"/>
      <c r="E54" s="248">
        <f>SUM(E55:E60)</f>
        <v>5268434</v>
      </c>
      <c r="F54" s="583">
        <f>SUM(F55:F60)</f>
        <v>5095818</v>
      </c>
      <c r="G54" s="571">
        <f t="shared" si="0"/>
        <v>0.967235804795125</v>
      </c>
      <c r="H54" s="214"/>
    </row>
    <row r="55" spans="1:8" ht="25.5">
      <c r="A55" s="236" t="s">
        <v>225</v>
      </c>
      <c r="B55" s="77">
        <v>75011</v>
      </c>
      <c r="C55" s="221">
        <v>2010</v>
      </c>
      <c r="D55" s="81" t="s">
        <v>231</v>
      </c>
      <c r="E55" s="244">
        <v>120780</v>
      </c>
      <c r="F55" s="579">
        <v>125207</v>
      </c>
      <c r="G55" s="568">
        <f>+F55/E55</f>
        <v>1.0366534194403048</v>
      </c>
      <c r="H55" s="215"/>
    </row>
    <row r="56" spans="1:8" ht="39.75" customHeight="1">
      <c r="A56" s="236" t="s">
        <v>226</v>
      </c>
      <c r="B56" s="77">
        <v>75101</v>
      </c>
      <c r="C56" s="221">
        <v>2010</v>
      </c>
      <c r="D56" s="81" t="s">
        <v>232</v>
      </c>
      <c r="E56" s="244">
        <v>3214</v>
      </c>
      <c r="F56" s="579">
        <v>3611</v>
      </c>
      <c r="G56" s="568">
        <f t="shared" si="0"/>
        <v>1.1235220908525203</v>
      </c>
      <c r="H56" s="219"/>
    </row>
    <row r="57" spans="1:8" ht="25.5">
      <c r="A57" s="236" t="s">
        <v>227</v>
      </c>
      <c r="B57" s="77">
        <v>75414</v>
      </c>
      <c r="C57" s="221">
        <v>2010</v>
      </c>
      <c r="D57" s="81" t="s">
        <v>545</v>
      </c>
      <c r="E57" s="244">
        <v>1000</v>
      </c>
      <c r="F57" s="579">
        <v>1000</v>
      </c>
      <c r="G57" s="568">
        <f t="shared" si="0"/>
        <v>1</v>
      </c>
      <c r="H57" s="219"/>
    </row>
    <row r="58" spans="1:8" ht="38.25">
      <c r="A58" s="234" t="s">
        <v>221</v>
      </c>
      <c r="B58" s="77">
        <v>85212</v>
      </c>
      <c r="C58" s="221">
        <v>2010</v>
      </c>
      <c r="D58" s="81" t="s">
        <v>238</v>
      </c>
      <c r="E58" s="244">
        <v>4736000</v>
      </c>
      <c r="F58" s="579">
        <v>4576000</v>
      </c>
      <c r="G58" s="568">
        <f t="shared" si="0"/>
        <v>0.9662162162162162</v>
      </c>
      <c r="H58" s="219"/>
    </row>
    <row r="59" spans="1:8" ht="25.5">
      <c r="A59" s="235"/>
      <c r="B59" s="77">
        <v>85213</v>
      </c>
      <c r="C59" s="221">
        <v>2010</v>
      </c>
      <c r="D59" s="81" t="s">
        <v>233</v>
      </c>
      <c r="E59" s="244">
        <v>40000</v>
      </c>
      <c r="F59" s="579">
        <v>31000</v>
      </c>
      <c r="G59" s="568">
        <f t="shared" si="0"/>
        <v>0.775</v>
      </c>
      <c r="H59" s="219"/>
    </row>
    <row r="60" spans="1:8" ht="25.5">
      <c r="A60" s="235"/>
      <c r="B60" s="77">
        <v>85214</v>
      </c>
      <c r="C60" s="221">
        <v>2010</v>
      </c>
      <c r="D60" s="81" t="s">
        <v>234</v>
      </c>
      <c r="E60" s="244">
        <v>367440</v>
      </c>
      <c r="F60" s="579">
        <v>359000</v>
      </c>
      <c r="G60" s="568">
        <f t="shared" si="0"/>
        <v>0.9770302634443718</v>
      </c>
      <c r="H60" s="219"/>
    </row>
    <row r="61" spans="1:8" ht="15.75">
      <c r="A61" s="670" t="s">
        <v>229</v>
      </c>
      <c r="B61" s="671"/>
      <c r="C61" s="671"/>
      <c r="D61" s="672"/>
      <c r="E61" s="248">
        <f>SUM(E62:E65)</f>
        <v>934234</v>
      </c>
      <c r="F61" s="583">
        <f>SUM(F62:F65)</f>
        <v>613535</v>
      </c>
      <c r="G61" s="571">
        <f t="shared" si="0"/>
        <v>0.656725188764271</v>
      </c>
      <c r="H61" s="214"/>
    </row>
    <row r="62" spans="1:8" ht="15.75">
      <c r="A62" s="234" t="s">
        <v>482</v>
      </c>
      <c r="B62" s="77">
        <v>80195</v>
      </c>
      <c r="C62" s="221">
        <v>2030</v>
      </c>
      <c r="D62" s="81" t="s">
        <v>483</v>
      </c>
      <c r="E62" s="244">
        <v>339034</v>
      </c>
      <c r="F62" s="579">
        <v>95535</v>
      </c>
      <c r="G62" s="568">
        <f>+F62/E62</f>
        <v>0.28178589757959377</v>
      </c>
      <c r="H62" s="214"/>
    </row>
    <row r="63" spans="1:8" ht="25.5">
      <c r="A63" s="86" t="s">
        <v>221</v>
      </c>
      <c r="B63" s="77">
        <v>85214</v>
      </c>
      <c r="C63" s="221">
        <v>2030</v>
      </c>
      <c r="D63" s="81" t="s">
        <v>235</v>
      </c>
      <c r="E63" s="244">
        <v>204000</v>
      </c>
      <c r="F63" s="579">
        <v>147000</v>
      </c>
      <c r="G63" s="568">
        <f t="shared" si="0"/>
        <v>0.7205882352941176</v>
      </c>
      <c r="H63" s="219"/>
    </row>
    <row r="64" spans="1:8" ht="25.5">
      <c r="A64" s="84"/>
      <c r="B64" s="77">
        <v>85219</v>
      </c>
      <c r="C64" s="221">
        <v>2030</v>
      </c>
      <c r="D64" s="81" t="s">
        <v>236</v>
      </c>
      <c r="E64" s="244">
        <v>304700</v>
      </c>
      <c r="F64" s="579">
        <v>306000</v>
      </c>
      <c r="G64" s="568">
        <f t="shared" si="0"/>
        <v>1.0042664916311126</v>
      </c>
      <c r="H64" s="219"/>
    </row>
    <row r="65" spans="1:8" ht="25.5">
      <c r="A65" s="84"/>
      <c r="B65" s="77">
        <v>85295</v>
      </c>
      <c r="C65" s="221">
        <v>2030</v>
      </c>
      <c r="D65" s="81" t="s">
        <v>237</v>
      </c>
      <c r="E65" s="244">
        <v>86500</v>
      </c>
      <c r="F65" s="579">
        <v>65000</v>
      </c>
      <c r="G65" s="568">
        <f>+F65/E65</f>
        <v>0.7514450867052023</v>
      </c>
      <c r="H65" s="219"/>
    </row>
    <row r="66" spans="1:8" ht="15.75">
      <c r="A66" s="670" t="s">
        <v>476</v>
      </c>
      <c r="B66" s="671"/>
      <c r="C66" s="671"/>
      <c r="D66" s="672"/>
      <c r="E66" s="249">
        <f>+E67</f>
        <v>2000</v>
      </c>
      <c r="F66" s="584">
        <f>+F67</f>
        <v>2300</v>
      </c>
      <c r="G66" s="568">
        <f t="shared" si="0"/>
        <v>1.15</v>
      </c>
      <c r="H66" s="219"/>
    </row>
    <row r="67" spans="1:8" ht="25.5">
      <c r="A67" s="234" t="s">
        <v>477</v>
      </c>
      <c r="B67" s="77">
        <v>71035</v>
      </c>
      <c r="C67" s="221">
        <v>2020</v>
      </c>
      <c r="D67" s="81" t="s">
        <v>478</v>
      </c>
      <c r="E67" s="244">
        <v>2000</v>
      </c>
      <c r="F67" s="579">
        <v>2300</v>
      </c>
      <c r="G67" s="568">
        <f t="shared" si="0"/>
        <v>1.15</v>
      </c>
      <c r="H67" s="219"/>
    </row>
    <row r="68" spans="1:7" ht="34.5" customHeight="1">
      <c r="A68" s="235"/>
      <c r="B68" s="676" t="s">
        <v>472</v>
      </c>
      <c r="C68" s="677"/>
      <c r="D68" s="678"/>
      <c r="E68" s="250">
        <f>SUM(E69:E70)</f>
        <v>1696600</v>
      </c>
      <c r="F68" s="582">
        <f>SUM(F69:F70)</f>
        <v>5755000</v>
      </c>
      <c r="G68" s="571">
        <f t="shared" si="0"/>
        <v>3.3920782741954496</v>
      </c>
    </row>
    <row r="69" spans="1:8" ht="18" customHeight="1">
      <c r="A69" s="236" t="s">
        <v>473</v>
      </c>
      <c r="B69" s="220">
        <v>70005</v>
      </c>
      <c r="C69" s="221" t="s">
        <v>184</v>
      </c>
      <c r="D69" s="81" t="s">
        <v>474</v>
      </c>
      <c r="E69" s="244">
        <v>46600</v>
      </c>
      <c r="F69" s="579">
        <v>5000</v>
      </c>
      <c r="G69" s="568">
        <f t="shared" si="0"/>
        <v>0.1072961373390558</v>
      </c>
      <c r="H69" s="219"/>
    </row>
    <row r="70" spans="1:8" ht="25.5">
      <c r="A70" s="235"/>
      <c r="B70" s="77"/>
      <c r="C70" s="221" t="s">
        <v>492</v>
      </c>
      <c r="D70" s="81" t="s">
        <v>493</v>
      </c>
      <c r="E70" s="244">
        <f>+E71+E72</f>
        <v>1650000</v>
      </c>
      <c r="F70" s="579">
        <f>+F71+F72</f>
        <v>5750000</v>
      </c>
      <c r="G70" s="570">
        <f t="shared" si="0"/>
        <v>3.484848484848485</v>
      </c>
      <c r="H70" s="219"/>
    </row>
    <row r="71" spans="1:8" ht="18" customHeight="1">
      <c r="A71" s="235"/>
      <c r="B71" s="77"/>
      <c r="C71" s="221"/>
      <c r="D71" s="81" t="s">
        <v>185</v>
      </c>
      <c r="E71" s="244">
        <v>150000</v>
      </c>
      <c r="F71" s="579">
        <v>150000</v>
      </c>
      <c r="G71" s="568">
        <f t="shared" si="0"/>
        <v>1</v>
      </c>
      <c r="H71" s="219"/>
    </row>
    <row r="72" spans="1:8" ht="25.5">
      <c r="A72" s="235"/>
      <c r="B72" s="77"/>
      <c r="C72" s="221"/>
      <c r="D72" s="81" t="s">
        <v>475</v>
      </c>
      <c r="E72" s="244">
        <v>1500000</v>
      </c>
      <c r="F72" s="579">
        <f>5000000+2000000-2000000+600000</f>
        <v>5600000</v>
      </c>
      <c r="G72" s="568">
        <f t="shared" si="0"/>
        <v>3.7333333333333334</v>
      </c>
      <c r="H72" s="219"/>
    </row>
    <row r="73" spans="1:8" s="62" customFormat="1" ht="36" customHeight="1" thickBot="1">
      <c r="A73" s="659" t="s">
        <v>248</v>
      </c>
      <c r="B73" s="660"/>
      <c r="C73" s="660"/>
      <c r="D73" s="660"/>
      <c r="E73" s="251">
        <f>+E12+E68</f>
        <v>44609471</v>
      </c>
      <c r="F73" s="585">
        <f>+F12+F68</f>
        <v>52572513</v>
      </c>
      <c r="G73" s="572">
        <f t="shared" si="0"/>
        <v>1.1785056361686064</v>
      </c>
      <c r="H73" s="214"/>
    </row>
    <row r="74" spans="2:8" ht="12.75">
      <c r="B74" s="1"/>
      <c r="C74" s="1"/>
      <c r="D74" s="1"/>
      <c r="E74" s="87"/>
      <c r="F74" s="87"/>
      <c r="G74" s="87"/>
      <c r="H74" s="1"/>
    </row>
    <row r="75" spans="1:8" ht="12.75">
      <c r="A75" s="70"/>
      <c r="B75" s="1"/>
      <c r="C75" s="1"/>
      <c r="D75" s="1"/>
      <c r="E75" s="87"/>
      <c r="F75" s="87"/>
      <c r="G75" s="87"/>
      <c r="H75" s="1"/>
    </row>
    <row r="76" spans="2:8" ht="12.75">
      <c r="B76" s="7"/>
      <c r="C76" s="1"/>
      <c r="D76" s="1"/>
      <c r="E76" s="87"/>
      <c r="F76" s="87"/>
      <c r="G76" s="87"/>
      <c r="H76" s="1"/>
    </row>
    <row r="77" spans="2:8" ht="12.75">
      <c r="B77" s="1"/>
      <c r="C77" s="1"/>
      <c r="D77" s="1"/>
      <c r="E77" s="87"/>
      <c r="F77" s="1"/>
      <c r="G77" s="1"/>
      <c r="H77" s="1"/>
    </row>
    <row r="78" spans="2:8" ht="15.75">
      <c r="B78" s="222"/>
      <c r="C78" s="1"/>
      <c r="D78" s="1"/>
      <c r="E78" s="87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</sheetData>
  <mergeCells count="15">
    <mergeCell ref="B6:G6"/>
    <mergeCell ref="A10:A11"/>
    <mergeCell ref="B10:B11"/>
    <mergeCell ref="C10:C11"/>
    <mergeCell ref="D10:D11"/>
    <mergeCell ref="G10:G11"/>
    <mergeCell ref="A73:D73"/>
    <mergeCell ref="A13:D13"/>
    <mergeCell ref="A20:D20"/>
    <mergeCell ref="A24:D24"/>
    <mergeCell ref="A54:D54"/>
    <mergeCell ref="A51:D51"/>
    <mergeCell ref="B68:D68"/>
    <mergeCell ref="A66:D66"/>
    <mergeCell ref="A61:D61"/>
  </mergeCells>
  <printOptions horizontalCentered="1"/>
  <pageMargins left="0.5511811023622047" right="0.5" top="0.38" bottom="0.35" header="0.27" footer="0.17"/>
  <pageSetup fitToHeight="10" horizontalDpi="300" verticalDpi="300" orientation="landscape" paperSize="9" scale="99" r:id="rId2"/>
  <headerFooter alignWithMargins="0">
    <oddFooter>&amp;C&amp;P / &amp;N</oddFooter>
  </headerFooter>
  <rowBreaks count="1" manualBreakCount="1">
    <brk id="53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showGridLines="0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30.75390625" style="0" customWidth="1"/>
    <col min="5" max="5" width="56.625" style="0" customWidth="1"/>
    <col min="6" max="6" width="15.75390625" style="0" customWidth="1"/>
  </cols>
  <sheetData>
    <row r="1" ht="12.75">
      <c r="F1" t="s">
        <v>585</v>
      </c>
    </row>
    <row r="2" ht="12.75">
      <c r="F2" t="s">
        <v>657</v>
      </c>
    </row>
    <row r="3" ht="12.75">
      <c r="F3" t="s">
        <v>186</v>
      </c>
    </row>
    <row r="4" ht="12.75">
      <c r="F4" t="s">
        <v>658</v>
      </c>
    </row>
    <row r="7" spans="1:6" ht="19.5" customHeight="1">
      <c r="A7" s="719" t="s">
        <v>556</v>
      </c>
      <c r="B7" s="719"/>
      <c r="C7" s="719"/>
      <c r="D7" s="719"/>
      <c r="E7" s="719"/>
      <c r="F7" s="719"/>
    </row>
    <row r="8" spans="4:6" ht="19.5" customHeight="1">
      <c r="D8" s="6"/>
      <c r="E8" s="6"/>
      <c r="F8" s="6"/>
    </row>
    <row r="9" spans="4:6" ht="19.5" customHeight="1">
      <c r="D9" s="1"/>
      <c r="E9" s="1"/>
      <c r="F9" s="12" t="s">
        <v>43</v>
      </c>
    </row>
    <row r="10" spans="1:6" ht="19.5" customHeight="1">
      <c r="A10" s="696" t="s">
        <v>61</v>
      </c>
      <c r="B10" s="696" t="s">
        <v>2</v>
      </c>
      <c r="C10" s="696" t="s">
        <v>3</v>
      </c>
      <c r="D10" s="693" t="s">
        <v>71</v>
      </c>
      <c r="E10" s="693" t="s">
        <v>72</v>
      </c>
      <c r="F10" s="693" t="s">
        <v>44</v>
      </c>
    </row>
    <row r="11" spans="1:6" ht="19.5" customHeight="1">
      <c r="A11" s="696"/>
      <c r="B11" s="696"/>
      <c r="C11" s="696"/>
      <c r="D11" s="693"/>
      <c r="E11" s="693"/>
      <c r="F11" s="693"/>
    </row>
    <row r="12" spans="1:6" ht="19.5" customHeight="1">
      <c r="A12" s="696"/>
      <c r="B12" s="696"/>
      <c r="C12" s="696"/>
      <c r="D12" s="693"/>
      <c r="E12" s="693"/>
      <c r="F12" s="693"/>
    </row>
    <row r="13" spans="1:6" ht="15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</row>
    <row r="14" spans="1:6" ht="30" customHeight="1">
      <c r="A14" s="39">
        <v>2</v>
      </c>
      <c r="B14" s="39">
        <v>801</v>
      </c>
      <c r="C14" s="39">
        <v>80197</v>
      </c>
      <c r="D14" s="39" t="s">
        <v>392</v>
      </c>
      <c r="E14" s="39" t="s">
        <v>393</v>
      </c>
      <c r="F14" s="108">
        <v>130000</v>
      </c>
    </row>
    <row r="15" spans="1:6" ht="30" customHeight="1">
      <c r="A15" s="39">
        <v>3</v>
      </c>
      <c r="B15" s="39">
        <v>926</v>
      </c>
      <c r="C15" s="39">
        <v>92601</v>
      </c>
      <c r="D15" s="39" t="s">
        <v>394</v>
      </c>
      <c r="E15" s="39" t="s">
        <v>563</v>
      </c>
      <c r="F15" s="108">
        <v>356300</v>
      </c>
    </row>
    <row r="16" spans="1:6" ht="30" customHeight="1">
      <c r="A16" s="39"/>
      <c r="B16" s="39"/>
      <c r="C16" s="39"/>
      <c r="D16" s="39"/>
      <c r="E16" s="39"/>
      <c r="F16" s="108"/>
    </row>
    <row r="17" spans="1:6" ht="30" customHeight="1">
      <c r="A17" s="40"/>
      <c r="B17" s="40"/>
      <c r="C17" s="40"/>
      <c r="D17" s="40"/>
      <c r="E17" s="40"/>
      <c r="F17" s="109"/>
    </row>
    <row r="18" spans="1:6" s="1" customFormat="1" ht="30" customHeight="1">
      <c r="A18" s="734" t="s">
        <v>121</v>
      </c>
      <c r="B18" s="735"/>
      <c r="C18" s="735"/>
      <c r="D18" s="736"/>
      <c r="E18" s="28"/>
      <c r="F18" s="95">
        <f>SUM(F14:F17)</f>
        <v>486300</v>
      </c>
    </row>
    <row r="20" spans="1:4" ht="12.75">
      <c r="A20" s="70" t="s">
        <v>25</v>
      </c>
      <c r="B20" t="s">
        <v>25</v>
      </c>
      <c r="C20" t="s">
        <v>25</v>
      </c>
      <c r="D20" t="s">
        <v>25</v>
      </c>
    </row>
  </sheetData>
  <mergeCells count="8">
    <mergeCell ref="A18:D18"/>
    <mergeCell ref="A7:F7"/>
    <mergeCell ref="F10:F12"/>
    <mergeCell ref="D10:D12"/>
    <mergeCell ref="E10:E12"/>
    <mergeCell ref="A10:A12"/>
    <mergeCell ref="B10:B12"/>
    <mergeCell ref="C10:C12"/>
  </mergeCells>
  <printOptions horizontalCentered="1"/>
  <pageMargins left="0.3937007874015748" right="0.17" top="0.75" bottom="0.98425196850393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SheetLayoutView="100"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69.375" style="1" customWidth="1"/>
    <col min="5" max="5" width="22.375" style="1" customWidth="1"/>
    <col min="6" max="7" width="9.125" style="1" customWidth="1"/>
    <col min="8" max="8" width="12.25390625" style="1" bestFit="1" customWidth="1"/>
    <col min="9" max="16384" width="9.125" style="1" customWidth="1"/>
  </cols>
  <sheetData>
    <row r="1" ht="12.75">
      <c r="E1" t="s">
        <v>570</v>
      </c>
    </row>
    <row r="2" ht="12.75">
      <c r="E2" t="s">
        <v>657</v>
      </c>
    </row>
    <row r="3" ht="12.75">
      <c r="E3" t="s">
        <v>186</v>
      </c>
    </row>
    <row r="4" ht="12.75">
      <c r="E4" t="s">
        <v>658</v>
      </c>
    </row>
    <row r="11" spans="1:5" ht="19.5" customHeight="1">
      <c r="A11" s="695" t="s">
        <v>559</v>
      </c>
      <c r="B11" s="695"/>
      <c r="C11" s="695"/>
      <c r="D11" s="695"/>
      <c r="E11" s="695"/>
    </row>
    <row r="12" spans="4:5" ht="19.5" customHeight="1">
      <c r="D12" s="6"/>
      <c r="E12" s="6"/>
    </row>
    <row r="13" ht="19.5" customHeight="1">
      <c r="E13" s="12" t="s">
        <v>43</v>
      </c>
    </row>
    <row r="14" spans="1:5" ht="19.5" customHeight="1">
      <c r="A14" s="18" t="s">
        <v>61</v>
      </c>
      <c r="B14" s="18" t="s">
        <v>2</v>
      </c>
      <c r="C14" s="18" t="s">
        <v>3</v>
      </c>
      <c r="D14" s="18" t="s">
        <v>47</v>
      </c>
      <c r="E14" s="18" t="s">
        <v>46</v>
      </c>
    </row>
    <row r="15" spans="1:5" ht="18.75" customHeight="1">
      <c r="A15" s="21">
        <v>1</v>
      </c>
      <c r="B15" s="21">
        <v>2</v>
      </c>
      <c r="C15" s="21">
        <v>3</v>
      </c>
      <c r="D15" s="21">
        <v>4</v>
      </c>
      <c r="E15" s="21">
        <v>5</v>
      </c>
    </row>
    <row r="16" spans="1:5" ht="30" customHeight="1">
      <c r="A16" s="110">
        <v>1</v>
      </c>
      <c r="B16" s="110">
        <v>801</v>
      </c>
      <c r="C16" s="110">
        <v>80104</v>
      </c>
      <c r="D16" s="110" t="s">
        <v>395</v>
      </c>
      <c r="E16" s="111">
        <v>632400</v>
      </c>
    </row>
    <row r="17" spans="1:5" ht="30" customHeight="1">
      <c r="A17" s="110">
        <v>2</v>
      </c>
      <c r="B17" s="110">
        <v>801</v>
      </c>
      <c r="C17" s="110">
        <v>80104</v>
      </c>
      <c r="D17" s="110" t="s">
        <v>560</v>
      </c>
      <c r="E17" s="111">
        <v>795600</v>
      </c>
    </row>
    <row r="18" spans="1:5" ht="30" customHeight="1">
      <c r="A18" s="110">
        <v>3</v>
      </c>
      <c r="B18" s="110">
        <v>801</v>
      </c>
      <c r="C18" s="110">
        <v>80104</v>
      </c>
      <c r="D18" s="110" t="s">
        <v>396</v>
      </c>
      <c r="E18" s="111">
        <v>204000</v>
      </c>
    </row>
    <row r="19" spans="1:8" ht="30" customHeight="1">
      <c r="A19" s="110">
        <v>4</v>
      </c>
      <c r="B19" s="110">
        <v>921</v>
      </c>
      <c r="C19" s="110">
        <v>92116</v>
      </c>
      <c r="D19" s="110" t="s">
        <v>397</v>
      </c>
      <c r="E19" s="111">
        <v>276036</v>
      </c>
      <c r="H19" s="112">
        <f>SUM(E16:E18)</f>
        <v>1632000</v>
      </c>
    </row>
    <row r="20" spans="1:5" ht="30" customHeight="1">
      <c r="A20" s="35">
        <v>5</v>
      </c>
      <c r="B20" s="35">
        <v>921</v>
      </c>
      <c r="C20" s="35">
        <v>92113</v>
      </c>
      <c r="D20" s="35" t="s">
        <v>564</v>
      </c>
      <c r="E20" s="94">
        <v>800000</v>
      </c>
    </row>
    <row r="21" spans="1:5" ht="30" customHeight="1">
      <c r="A21" s="734" t="s">
        <v>121</v>
      </c>
      <c r="B21" s="735"/>
      <c r="C21" s="735"/>
      <c r="D21" s="736"/>
      <c r="E21" s="95">
        <f>SUM(E16:E20)</f>
        <v>2708036</v>
      </c>
    </row>
    <row r="22" ht="12.75">
      <c r="E22" s="112" t="s">
        <v>25</v>
      </c>
    </row>
    <row r="23" spans="1:5" ht="12.75">
      <c r="A23" s="75" t="s">
        <v>25</v>
      </c>
      <c r="B23" s="1" t="s">
        <v>25</v>
      </c>
      <c r="C23" s="1" t="s">
        <v>25</v>
      </c>
      <c r="D23" s="1" t="s">
        <v>25</v>
      </c>
      <c r="E23" s="1" t="s">
        <v>25</v>
      </c>
    </row>
    <row r="24" spans="1:5" ht="12.75">
      <c r="A24" s="70" t="s">
        <v>25</v>
      </c>
      <c r="B24" s="1" t="s">
        <v>25</v>
      </c>
      <c r="C24" s="1" t="s">
        <v>25</v>
      </c>
      <c r="D24" s="1" t="s">
        <v>25</v>
      </c>
      <c r="E24" s="1" t="s">
        <v>25</v>
      </c>
    </row>
    <row r="26" spans="1:4" ht="12.75">
      <c r="A26" s="70" t="s">
        <v>25</v>
      </c>
      <c r="B26" s="1" t="s">
        <v>25</v>
      </c>
      <c r="C26" s="1" t="s">
        <v>25</v>
      </c>
      <c r="D26" s="1" t="s">
        <v>25</v>
      </c>
    </row>
    <row r="31" ht="12.75">
      <c r="E31" s="112">
        <f>+E21-E19</f>
        <v>2432000</v>
      </c>
    </row>
    <row r="33" ht="12.75">
      <c r="E33" s="112">
        <f>SUM(E16:E18)</f>
        <v>1632000</v>
      </c>
    </row>
  </sheetData>
  <mergeCells count="2">
    <mergeCell ref="A11:E11"/>
    <mergeCell ref="A21:D21"/>
  </mergeCells>
  <printOptions horizontalCentered="1"/>
  <pageMargins left="0.5511811023622047" right="0.5118110236220472" top="0.95" bottom="0.984251968503937" header="0.33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showGridLines="0" view="pageBreakPreview" zoomScaleSheetLayoutView="100" workbookViewId="0" topLeftCell="A1">
      <selection activeCell="D9" sqref="D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7.75390625" style="0" customWidth="1"/>
    <col min="5" max="5" width="19.625" style="0" customWidth="1"/>
    <col min="6" max="6" width="10.75390625" style="0" bestFit="1" customWidth="1"/>
  </cols>
  <sheetData>
    <row r="1" ht="12.75">
      <c r="E1" t="s">
        <v>586</v>
      </c>
    </row>
    <row r="2" ht="12.75">
      <c r="E2" t="s">
        <v>657</v>
      </c>
    </row>
    <row r="3" ht="12.75">
      <c r="E3" t="s">
        <v>186</v>
      </c>
    </row>
    <row r="4" ht="12.75">
      <c r="E4" t="s">
        <v>658</v>
      </c>
    </row>
    <row r="7" spans="1:5" ht="48.75" customHeight="1">
      <c r="A7" s="720" t="s">
        <v>566</v>
      </c>
      <c r="B7" s="720"/>
      <c r="C7" s="720"/>
      <c r="D7" s="720"/>
      <c r="E7" s="720"/>
    </row>
    <row r="8" spans="4:5" ht="19.5" customHeight="1">
      <c r="D8" s="6"/>
      <c r="E8" s="6"/>
    </row>
    <row r="9" spans="4:5" ht="11.25" customHeight="1" thickBot="1">
      <c r="D9" s="1"/>
      <c r="E9" s="10" t="s">
        <v>43</v>
      </c>
    </row>
    <row r="10" spans="1:5" ht="19.5" customHeight="1" thickBot="1">
      <c r="A10" s="597" t="s">
        <v>61</v>
      </c>
      <c r="B10" s="598" t="s">
        <v>2</v>
      </c>
      <c r="C10" s="598" t="s">
        <v>3</v>
      </c>
      <c r="D10" s="598" t="s">
        <v>45</v>
      </c>
      <c r="E10" s="599" t="s">
        <v>46</v>
      </c>
    </row>
    <row r="11" spans="1:5" s="68" customFormat="1" ht="13.5" customHeight="1">
      <c r="A11" s="594">
        <v>1</v>
      </c>
      <c r="B11" s="595">
        <v>2</v>
      </c>
      <c r="C11" s="595">
        <v>3</v>
      </c>
      <c r="D11" s="595">
        <v>4</v>
      </c>
      <c r="E11" s="596">
        <v>5</v>
      </c>
    </row>
    <row r="12" spans="1:5" s="68" customFormat="1" ht="19.5" customHeight="1">
      <c r="A12" s="586">
        <v>1</v>
      </c>
      <c r="B12" s="140">
        <v>600</v>
      </c>
      <c r="C12" s="140">
        <v>60014</v>
      </c>
      <c r="D12" s="141" t="s">
        <v>565</v>
      </c>
      <c r="E12" s="587">
        <f>400000-200000</f>
        <v>200000</v>
      </c>
    </row>
    <row r="13" spans="1:5" s="68" customFormat="1" ht="21" customHeight="1">
      <c r="A13" s="588">
        <v>2</v>
      </c>
      <c r="B13" s="39">
        <v>851</v>
      </c>
      <c r="C13" s="39">
        <v>85111</v>
      </c>
      <c r="D13" s="39" t="s">
        <v>434</v>
      </c>
      <c r="E13" s="589">
        <v>199641</v>
      </c>
    </row>
    <row r="14" spans="1:5" ht="21.75" customHeight="1">
      <c r="A14" s="590">
        <v>3</v>
      </c>
      <c r="B14" s="39">
        <v>926</v>
      </c>
      <c r="C14" s="39">
        <v>92605</v>
      </c>
      <c r="D14" s="39" t="s">
        <v>398</v>
      </c>
      <c r="E14" s="589">
        <v>200000</v>
      </c>
    </row>
    <row r="15" spans="1:6" ht="19.5" customHeight="1">
      <c r="A15" s="590">
        <v>4</v>
      </c>
      <c r="B15" s="39">
        <v>926</v>
      </c>
      <c r="C15" s="39">
        <v>92605</v>
      </c>
      <c r="D15" s="39" t="s">
        <v>399</v>
      </c>
      <c r="E15" s="589">
        <v>50000</v>
      </c>
      <c r="F15" s="231"/>
    </row>
    <row r="16" spans="1:5" ht="19.5" customHeight="1">
      <c r="A16" s="590">
        <v>5</v>
      </c>
      <c r="B16" s="39">
        <v>926</v>
      </c>
      <c r="C16" s="39">
        <v>92605</v>
      </c>
      <c r="D16" s="39" t="s">
        <v>423</v>
      </c>
      <c r="E16" s="589">
        <v>45000</v>
      </c>
    </row>
    <row r="17" spans="1:5" ht="19.5" customHeight="1">
      <c r="A17" s="591">
        <v>6</v>
      </c>
      <c r="B17" s="113">
        <v>926</v>
      </c>
      <c r="C17" s="113">
        <v>92605</v>
      </c>
      <c r="D17" s="113" t="s">
        <v>424</v>
      </c>
      <c r="E17" s="592">
        <f>22000+8000</f>
        <v>30000</v>
      </c>
    </row>
    <row r="18" spans="1:5" ht="18" customHeight="1">
      <c r="A18" s="591">
        <v>7</v>
      </c>
      <c r="B18" s="113">
        <v>926</v>
      </c>
      <c r="C18" s="113">
        <v>92605</v>
      </c>
      <c r="D18" s="113" t="s">
        <v>400</v>
      </c>
      <c r="E18" s="592">
        <v>12000</v>
      </c>
    </row>
    <row r="19" spans="1:5" ht="17.25" customHeight="1">
      <c r="A19" s="591">
        <v>8</v>
      </c>
      <c r="B19" s="113">
        <v>926</v>
      </c>
      <c r="C19" s="113">
        <v>92605</v>
      </c>
      <c r="D19" s="113" t="s">
        <v>401</v>
      </c>
      <c r="E19" s="592">
        <v>22500</v>
      </c>
    </row>
    <row r="20" spans="1:5" ht="24" customHeight="1">
      <c r="A20" s="591">
        <v>9</v>
      </c>
      <c r="B20" s="39">
        <v>926</v>
      </c>
      <c r="C20" s="39">
        <v>92605</v>
      </c>
      <c r="D20" s="39" t="s">
        <v>402</v>
      </c>
      <c r="E20" s="589">
        <v>22500</v>
      </c>
    </row>
    <row r="21" spans="1:5" ht="23.25" customHeight="1">
      <c r="A21" s="590">
        <v>10</v>
      </c>
      <c r="B21" s="39">
        <v>926</v>
      </c>
      <c r="C21" s="39">
        <v>92605</v>
      </c>
      <c r="D21" s="39" t="s">
        <v>403</v>
      </c>
      <c r="E21" s="589">
        <v>10000</v>
      </c>
    </row>
    <row r="22" spans="1:5" ht="26.25" customHeight="1" thickBot="1">
      <c r="A22" s="600">
        <v>11</v>
      </c>
      <c r="B22" s="114">
        <v>926</v>
      </c>
      <c r="C22" s="114">
        <v>92605</v>
      </c>
      <c r="D22" s="114" t="s">
        <v>404</v>
      </c>
      <c r="E22" s="593">
        <v>5000</v>
      </c>
    </row>
    <row r="23" spans="1:5" ht="30" customHeight="1" thickBot="1">
      <c r="A23" s="737" t="s">
        <v>121</v>
      </c>
      <c r="B23" s="738"/>
      <c r="C23" s="738"/>
      <c r="D23" s="739"/>
      <c r="E23" s="601">
        <f>SUM(E12:E22)</f>
        <v>796641</v>
      </c>
    </row>
    <row r="25" spans="1:4" ht="12.75">
      <c r="A25" s="70" t="s">
        <v>25</v>
      </c>
      <c r="B25" t="s">
        <v>25</v>
      </c>
      <c r="C25" t="s">
        <v>25</v>
      </c>
      <c r="D25" t="s">
        <v>25</v>
      </c>
    </row>
  </sheetData>
  <mergeCells count="2">
    <mergeCell ref="A7:E7"/>
    <mergeCell ref="A23:D23"/>
  </mergeCells>
  <printOptions horizontalCentered="1"/>
  <pageMargins left="0.3937007874015748" right="0.3937007874015748" top="0.78" bottom="0.984251968503937" header="0.26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5.00390625" style="1" customWidth="1"/>
    <col min="2" max="2" width="6.75390625" style="1" customWidth="1"/>
    <col min="3" max="3" width="8.25390625" style="1" customWidth="1"/>
    <col min="4" max="4" width="9.25390625" style="1" customWidth="1"/>
    <col min="5" max="5" width="55.00390625" style="1" customWidth="1"/>
    <col min="6" max="6" width="14.875" style="1" customWidth="1"/>
    <col min="7" max="7" width="9.125" style="1" customWidth="1"/>
    <col min="8" max="8" width="14.875" style="1" bestFit="1" customWidth="1"/>
    <col min="9" max="16384" width="9.125" style="1" customWidth="1"/>
  </cols>
  <sheetData>
    <row r="1" ht="12.75">
      <c r="F1" s="61" t="s">
        <v>632</v>
      </c>
    </row>
    <row r="2" ht="12.75">
      <c r="F2" s="61" t="s">
        <v>660</v>
      </c>
    </row>
    <row r="3" ht="12.75">
      <c r="F3" s="61" t="s">
        <v>186</v>
      </c>
    </row>
    <row r="4" ht="12.75">
      <c r="F4" s="61" t="s">
        <v>659</v>
      </c>
    </row>
    <row r="5" ht="12.75">
      <c r="F5" s="61"/>
    </row>
    <row r="6" spans="1:13" ht="19.5" customHeight="1">
      <c r="A6" s="740" t="s">
        <v>40</v>
      </c>
      <c r="B6" s="740"/>
      <c r="C6" s="740"/>
      <c r="D6" s="740"/>
      <c r="E6" s="740"/>
      <c r="F6" s="740"/>
      <c r="G6" s="6"/>
      <c r="H6" s="6"/>
      <c r="I6" s="6"/>
      <c r="J6" s="6"/>
      <c r="K6" s="6"/>
      <c r="L6" s="6"/>
      <c r="M6" s="6"/>
    </row>
    <row r="7" spans="1:10" ht="19.5" customHeight="1">
      <c r="A7" s="740" t="s">
        <v>580</v>
      </c>
      <c r="B7" s="740"/>
      <c r="C7" s="740"/>
      <c r="D7" s="740"/>
      <c r="E7" s="740"/>
      <c r="F7" s="740"/>
      <c r="G7" s="6"/>
      <c r="H7" s="6"/>
      <c r="I7" s="6"/>
      <c r="J7" s="6"/>
    </row>
    <row r="9" ht="13.5" thickBot="1">
      <c r="F9" s="10" t="s">
        <v>43</v>
      </c>
    </row>
    <row r="10" spans="1:13" ht="19.5" customHeight="1" thickBot="1">
      <c r="A10" s="597" t="s">
        <v>61</v>
      </c>
      <c r="B10" s="473" t="s">
        <v>2</v>
      </c>
      <c r="C10" s="473" t="s">
        <v>571</v>
      </c>
      <c r="D10" s="473" t="s">
        <v>572</v>
      </c>
      <c r="E10" s="598" t="s">
        <v>0</v>
      </c>
      <c r="F10" s="599" t="s">
        <v>578</v>
      </c>
      <c r="G10" s="8"/>
      <c r="H10" s="8"/>
      <c r="I10" s="8"/>
      <c r="J10" s="8"/>
      <c r="K10" s="8"/>
      <c r="L10" s="9"/>
      <c r="M10" s="9"/>
    </row>
    <row r="11" spans="1:13" ht="19.5" customHeight="1">
      <c r="A11" s="602" t="s">
        <v>10</v>
      </c>
      <c r="B11" s="603"/>
      <c r="C11" s="603"/>
      <c r="D11" s="603"/>
      <c r="E11" s="604" t="s">
        <v>62</v>
      </c>
      <c r="F11" s="605">
        <v>360000</v>
      </c>
      <c r="G11" s="8"/>
      <c r="H11" s="8"/>
      <c r="I11" s="8"/>
      <c r="J11" s="8"/>
      <c r="K11" s="8"/>
      <c r="L11" s="9"/>
      <c r="M11" s="9"/>
    </row>
    <row r="12" spans="1:13" ht="19.5" customHeight="1">
      <c r="A12" s="479" t="s">
        <v>16</v>
      </c>
      <c r="B12" s="26"/>
      <c r="C12" s="26"/>
      <c r="D12" s="26"/>
      <c r="E12" s="41" t="s">
        <v>9</v>
      </c>
      <c r="F12" s="480">
        <f>SUM(F14:F16)</f>
        <v>220000</v>
      </c>
      <c r="G12" s="8"/>
      <c r="H12" s="8"/>
      <c r="I12" s="8"/>
      <c r="J12" s="8"/>
      <c r="K12" s="8"/>
      <c r="L12" s="9"/>
      <c r="M12" s="9"/>
    </row>
    <row r="13" spans="1:13" ht="19.5" customHeight="1">
      <c r="A13" s="481" t="s">
        <v>12</v>
      </c>
      <c r="B13" s="459">
        <v>900</v>
      </c>
      <c r="C13" s="460">
        <v>90011</v>
      </c>
      <c r="D13" s="468">
        <v>690</v>
      </c>
      <c r="E13" s="461" t="s">
        <v>573</v>
      </c>
      <c r="F13" s="482">
        <f>SUM(F14:F15)</f>
        <v>220000</v>
      </c>
      <c r="G13" s="8"/>
      <c r="H13" s="8"/>
      <c r="I13" s="8"/>
      <c r="J13" s="8"/>
      <c r="K13" s="8"/>
      <c r="L13" s="9"/>
      <c r="M13" s="9"/>
    </row>
    <row r="14" spans="1:13" ht="19.5" customHeight="1">
      <c r="A14" s="483"/>
      <c r="B14" s="469"/>
      <c r="C14" s="469"/>
      <c r="D14" s="469"/>
      <c r="E14" s="43" t="s">
        <v>405</v>
      </c>
      <c r="F14" s="484">
        <v>150000</v>
      </c>
      <c r="G14" s="8"/>
      <c r="H14" s="8"/>
      <c r="I14" s="8"/>
      <c r="J14" s="8"/>
      <c r="K14" s="8"/>
      <c r="L14" s="9"/>
      <c r="M14" s="9"/>
    </row>
    <row r="15" spans="1:13" ht="19.5" customHeight="1">
      <c r="A15" s="483"/>
      <c r="B15" s="469"/>
      <c r="C15" s="469"/>
      <c r="D15" s="469"/>
      <c r="E15" s="43" t="s">
        <v>406</v>
      </c>
      <c r="F15" s="484">
        <v>70000</v>
      </c>
      <c r="G15" s="8"/>
      <c r="H15" s="8"/>
      <c r="I15" s="8"/>
      <c r="J15" s="8"/>
      <c r="K15" s="8"/>
      <c r="L15" s="9"/>
      <c r="M15" s="9"/>
    </row>
    <row r="16" spans="1:13" ht="19.5" customHeight="1">
      <c r="A16" s="485" t="s">
        <v>25</v>
      </c>
      <c r="B16" s="470"/>
      <c r="C16" s="470"/>
      <c r="D16" s="470"/>
      <c r="E16" s="44"/>
      <c r="F16" s="486"/>
      <c r="G16" s="8"/>
      <c r="H16" s="8"/>
      <c r="I16" s="8"/>
      <c r="J16" s="8"/>
      <c r="K16" s="8"/>
      <c r="L16" s="9"/>
      <c r="M16" s="9"/>
    </row>
    <row r="17" spans="1:13" ht="19.5" customHeight="1">
      <c r="A17" s="479" t="s">
        <v>17</v>
      </c>
      <c r="B17" s="26"/>
      <c r="C17" s="26"/>
      <c r="D17" s="26"/>
      <c r="E17" s="41" t="s">
        <v>8</v>
      </c>
      <c r="F17" s="480">
        <f>+F18+F34</f>
        <v>540000</v>
      </c>
      <c r="G17" s="8"/>
      <c r="H17" s="8"/>
      <c r="I17" s="8"/>
      <c r="J17" s="8"/>
      <c r="K17" s="8"/>
      <c r="L17" s="9"/>
      <c r="M17" s="9"/>
    </row>
    <row r="18" spans="1:13" ht="15.75">
      <c r="A18" s="462" t="s">
        <v>12</v>
      </c>
      <c r="B18" s="459">
        <v>900</v>
      </c>
      <c r="C18" s="460">
        <v>90011</v>
      </c>
      <c r="D18" s="463"/>
      <c r="E18" s="474" t="s">
        <v>38</v>
      </c>
      <c r="F18" s="487">
        <f>SUM(F30:F33)</f>
        <v>540000</v>
      </c>
      <c r="G18" s="8"/>
      <c r="H18" s="8"/>
      <c r="I18" s="8"/>
      <c r="J18" s="8"/>
      <c r="K18" s="8"/>
      <c r="L18" s="9"/>
      <c r="M18" s="9"/>
    </row>
    <row r="19" spans="1:13" ht="15">
      <c r="A19" s="483"/>
      <c r="B19" s="469"/>
      <c r="C19" s="469"/>
      <c r="D19" s="469"/>
      <c r="E19" s="45" t="s">
        <v>407</v>
      </c>
      <c r="F19" s="484">
        <f>SUM(F20:F28)-F30-F31-F32</f>
        <v>0</v>
      </c>
      <c r="G19" s="8"/>
      <c r="H19" s="471">
        <f>SUM(F20:F29)</f>
        <v>540000</v>
      </c>
      <c r="I19" s="8"/>
      <c r="J19" s="8"/>
      <c r="K19" s="8"/>
      <c r="L19" s="9"/>
      <c r="M19" s="9"/>
    </row>
    <row r="20" spans="1:13" ht="15">
      <c r="A20" s="483"/>
      <c r="B20" s="469"/>
      <c r="C20" s="469"/>
      <c r="D20" s="469"/>
      <c r="E20" s="45" t="s">
        <v>408</v>
      </c>
      <c r="F20" s="484">
        <v>35000</v>
      </c>
      <c r="G20" s="8"/>
      <c r="H20" s="8"/>
      <c r="I20" s="8"/>
      <c r="J20" s="8"/>
      <c r="K20" s="8"/>
      <c r="L20" s="9"/>
      <c r="M20" s="9"/>
    </row>
    <row r="21" spans="1:13" ht="25.5">
      <c r="A21" s="483"/>
      <c r="B21" s="469"/>
      <c r="C21" s="469"/>
      <c r="D21" s="469"/>
      <c r="E21" s="45" t="s">
        <v>412</v>
      </c>
      <c r="F21" s="484">
        <v>7000</v>
      </c>
      <c r="G21" s="8"/>
      <c r="H21" s="8"/>
      <c r="I21" s="8"/>
      <c r="J21" s="8"/>
      <c r="K21" s="8"/>
      <c r="L21" s="9"/>
      <c r="M21" s="9"/>
    </row>
    <row r="22" spans="1:13" ht="15">
      <c r="A22" s="483"/>
      <c r="B22" s="469"/>
      <c r="C22" s="469"/>
      <c r="D22" s="469"/>
      <c r="E22" s="45" t="s">
        <v>409</v>
      </c>
      <c r="F22" s="484">
        <f>10000+40000</f>
        <v>50000</v>
      </c>
      <c r="G22" s="8"/>
      <c r="H22" s="8"/>
      <c r="I22" s="8"/>
      <c r="J22" s="8"/>
      <c r="K22" s="8"/>
      <c r="L22" s="9"/>
      <c r="M22" s="9"/>
    </row>
    <row r="23" spans="1:13" ht="25.5">
      <c r="A23" s="483"/>
      <c r="B23" s="469"/>
      <c r="C23" s="469"/>
      <c r="D23" s="469"/>
      <c r="E23" s="45" t="s">
        <v>410</v>
      </c>
      <c r="F23" s="484">
        <v>110000</v>
      </c>
      <c r="G23" s="8"/>
      <c r="H23" s="8"/>
      <c r="I23" s="8"/>
      <c r="J23" s="8"/>
      <c r="K23" s="8"/>
      <c r="L23" s="9"/>
      <c r="M23" s="9"/>
    </row>
    <row r="24" spans="1:13" ht="15">
      <c r="A24" s="483"/>
      <c r="B24" s="469"/>
      <c r="C24" s="469"/>
      <c r="D24" s="469"/>
      <c r="E24" s="45" t="s">
        <v>411</v>
      </c>
      <c r="F24" s="484">
        <v>90000</v>
      </c>
      <c r="G24" s="8"/>
      <c r="H24" s="8"/>
      <c r="I24" s="8"/>
      <c r="J24" s="8"/>
      <c r="K24" s="8"/>
      <c r="L24" s="9"/>
      <c r="M24" s="9"/>
    </row>
    <row r="25" spans="1:13" ht="15">
      <c r="A25" s="483"/>
      <c r="B25" s="469"/>
      <c r="C25" s="469"/>
      <c r="D25" s="469"/>
      <c r="E25" s="45" t="s">
        <v>486</v>
      </c>
      <c r="F25" s="484">
        <v>50000</v>
      </c>
      <c r="G25" s="8"/>
      <c r="H25" s="8"/>
      <c r="I25" s="8"/>
      <c r="J25" s="8"/>
      <c r="K25" s="8"/>
      <c r="L25" s="9"/>
      <c r="M25" s="9"/>
    </row>
    <row r="26" spans="1:13" ht="15">
      <c r="A26" s="483"/>
      <c r="B26" s="469"/>
      <c r="C26" s="469"/>
      <c r="D26" s="469"/>
      <c r="E26" s="45" t="s">
        <v>577</v>
      </c>
      <c r="F26" s="484">
        <v>50000</v>
      </c>
      <c r="G26" s="8"/>
      <c r="H26" s="8"/>
      <c r="I26" s="8"/>
      <c r="J26" s="8"/>
      <c r="K26" s="8"/>
      <c r="L26" s="9"/>
      <c r="M26" s="9"/>
    </row>
    <row r="27" spans="1:13" ht="25.5">
      <c r="A27" s="483"/>
      <c r="B27" s="469"/>
      <c r="C27" s="469"/>
      <c r="D27" s="469"/>
      <c r="E27" s="45" t="s">
        <v>579</v>
      </c>
      <c r="F27" s="484">
        <v>50000</v>
      </c>
      <c r="G27" s="8"/>
      <c r="H27" s="8"/>
      <c r="I27" s="8"/>
      <c r="J27" s="8"/>
      <c r="K27" s="8"/>
      <c r="L27" s="9"/>
      <c r="M27" s="9"/>
    </row>
    <row r="28" spans="1:13" ht="25.5">
      <c r="A28" s="483"/>
      <c r="B28" s="469"/>
      <c r="C28" s="469"/>
      <c r="D28" s="469"/>
      <c r="E28" s="45" t="s">
        <v>488</v>
      </c>
      <c r="F28" s="484">
        <f>95000+5000+45000-7000-40000</f>
        <v>98000</v>
      </c>
      <c r="G28" s="8"/>
      <c r="H28" s="8"/>
      <c r="I28" s="8"/>
      <c r="J28" s="8"/>
      <c r="K28" s="8"/>
      <c r="L28" s="9"/>
      <c r="M28" s="9"/>
    </row>
    <row r="29" spans="1:13" ht="15">
      <c r="A29" s="483"/>
      <c r="B29" s="469"/>
      <c r="C29" s="469"/>
      <c r="D29" s="469"/>
      <c r="E29" s="45"/>
      <c r="F29" s="484"/>
      <c r="G29" s="8"/>
      <c r="H29" s="8"/>
      <c r="I29" s="8"/>
      <c r="J29" s="8"/>
      <c r="K29" s="8"/>
      <c r="L29" s="9"/>
      <c r="M29" s="9"/>
    </row>
    <row r="30" spans="1:13" ht="38.25">
      <c r="A30" s="483"/>
      <c r="B30" s="469"/>
      <c r="C30" s="469"/>
      <c r="D30" s="464">
        <v>2450</v>
      </c>
      <c r="E30" s="467" t="s">
        <v>574</v>
      </c>
      <c r="F30" s="465">
        <f>+F26+F25+F27</f>
        <v>150000</v>
      </c>
      <c r="G30" s="477"/>
      <c r="H30" s="472">
        <f>SUM(F30:F32)</f>
        <v>540000</v>
      </c>
      <c r="I30" s="8"/>
      <c r="J30" s="8"/>
      <c r="K30" s="8"/>
      <c r="L30" s="9"/>
      <c r="M30" s="9"/>
    </row>
    <row r="31" spans="1:13" ht="15">
      <c r="A31" s="483"/>
      <c r="B31" s="469"/>
      <c r="C31" s="469"/>
      <c r="D31" s="466">
        <v>4210</v>
      </c>
      <c r="E31" s="475" t="s">
        <v>575</v>
      </c>
      <c r="F31" s="465">
        <v>45000</v>
      </c>
      <c r="G31" s="477"/>
      <c r="H31" s="8"/>
      <c r="I31" s="8"/>
      <c r="J31" s="8"/>
      <c r="K31" s="8"/>
      <c r="L31" s="9"/>
      <c r="M31" s="9"/>
    </row>
    <row r="32" spans="1:13" ht="15">
      <c r="A32" s="483"/>
      <c r="B32" s="469"/>
      <c r="C32" s="469"/>
      <c r="D32" s="466">
        <v>4300</v>
      </c>
      <c r="E32" s="476" t="s">
        <v>576</v>
      </c>
      <c r="F32" s="465">
        <f>339000+6000</f>
        <v>345000</v>
      </c>
      <c r="G32" s="477"/>
      <c r="H32" s="8"/>
      <c r="I32" s="8"/>
      <c r="J32" s="8"/>
      <c r="K32" s="8"/>
      <c r="L32" s="9"/>
      <c r="M32" s="9"/>
    </row>
    <row r="33" spans="1:13" ht="15">
      <c r="A33" s="488"/>
      <c r="B33" s="42"/>
      <c r="C33" s="42"/>
      <c r="D33" s="31"/>
      <c r="E33" s="45"/>
      <c r="F33" s="484"/>
      <c r="G33" s="478"/>
      <c r="H33" s="8"/>
      <c r="I33" s="8"/>
      <c r="J33" s="8"/>
      <c r="K33" s="8"/>
      <c r="L33" s="9"/>
      <c r="M33" s="9"/>
    </row>
    <row r="34" spans="1:13" ht="15">
      <c r="A34" s="489" t="s">
        <v>13</v>
      </c>
      <c r="B34" s="31"/>
      <c r="C34" s="31"/>
      <c r="D34" s="31"/>
      <c r="E34" s="45" t="s">
        <v>41</v>
      </c>
      <c r="F34" s="484">
        <v>0</v>
      </c>
      <c r="G34" s="478"/>
      <c r="H34" s="8"/>
      <c r="I34" s="8"/>
      <c r="J34" s="8"/>
      <c r="K34" s="8"/>
      <c r="L34" s="9"/>
      <c r="M34" s="9"/>
    </row>
    <row r="35" spans="1:13" ht="15">
      <c r="A35" s="490"/>
      <c r="B35" s="34"/>
      <c r="C35" s="34"/>
      <c r="D35" s="34"/>
      <c r="E35" s="46"/>
      <c r="F35" s="486"/>
      <c r="G35" s="478"/>
      <c r="H35" s="8"/>
      <c r="I35" s="8"/>
      <c r="J35" s="8"/>
      <c r="K35" s="8"/>
      <c r="L35" s="9"/>
      <c r="M35" s="9"/>
    </row>
    <row r="36" spans="1:13" ht="15.75" thickBot="1">
      <c r="A36" s="491" t="s">
        <v>39</v>
      </c>
      <c r="B36" s="492"/>
      <c r="C36" s="492"/>
      <c r="D36" s="492"/>
      <c r="E36" s="493" t="s">
        <v>64</v>
      </c>
      <c r="F36" s="494">
        <f>+F11+F12-F17</f>
        <v>40000</v>
      </c>
      <c r="G36" s="478"/>
      <c r="H36" s="8"/>
      <c r="I36" s="8"/>
      <c r="J36" s="8"/>
      <c r="K36" s="8"/>
      <c r="L36" s="9"/>
      <c r="M36" s="9"/>
    </row>
    <row r="37" spans="1:13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9"/>
      <c r="M37" s="9"/>
    </row>
    <row r="38" spans="1:13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9"/>
      <c r="M38" s="9"/>
    </row>
    <row r="39" spans="1:13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</row>
    <row r="40" spans="1:13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</row>
    <row r="41" spans="1:13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  <c r="M41" s="9"/>
    </row>
    <row r="42" spans="1:13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9"/>
      <c r="M42" s="9"/>
    </row>
    <row r="43" spans="1:13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</sheetData>
  <mergeCells count="2">
    <mergeCell ref="A6:F6"/>
    <mergeCell ref="A7:F7"/>
  </mergeCells>
  <printOptions horizontalCentered="1"/>
  <pageMargins left="0.25" right="0.21" top="0.82" bottom="0.5905511811023623" header="0.26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view="pageBreakPreview" zoomScale="90" zoomScaleSheetLayoutView="90" workbookViewId="0" topLeftCell="B17">
      <selection activeCell="L5" sqref="L5"/>
    </sheetView>
  </sheetViews>
  <sheetFormatPr defaultColWidth="9.00390625" defaultRowHeight="12.75" outlineLevelRow="1"/>
  <cols>
    <col min="1" max="1" width="6.25390625" style="0" customWidth="1"/>
    <col min="2" max="2" width="41.75390625" style="0" customWidth="1"/>
    <col min="3" max="4" width="16.875" style="0" hidden="1" customWidth="1"/>
    <col min="5" max="6" width="15.75390625" style="0" hidden="1" customWidth="1"/>
    <col min="7" max="10" width="15.75390625" style="0" customWidth="1"/>
    <col min="11" max="12" width="16.25390625" style="0" customWidth="1"/>
    <col min="13" max="14" width="15.75390625" style="0" customWidth="1"/>
    <col min="15" max="15" width="16.125" style="0" customWidth="1"/>
    <col min="16" max="16" width="13.75390625" style="0" customWidth="1"/>
  </cols>
  <sheetData>
    <row r="1" ht="12.75">
      <c r="M1" t="s">
        <v>588</v>
      </c>
    </row>
    <row r="2" ht="12.75">
      <c r="M2" t="s">
        <v>657</v>
      </c>
    </row>
    <row r="3" ht="12.75">
      <c r="M3" t="s">
        <v>186</v>
      </c>
    </row>
    <row r="4" ht="12.75">
      <c r="M4" t="s">
        <v>658</v>
      </c>
    </row>
    <row r="5" spans="1:15" ht="18">
      <c r="A5" s="719" t="s">
        <v>587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150"/>
      <c r="M5" s="150"/>
      <c r="N5" s="150"/>
      <c r="O5" s="6"/>
    </row>
    <row r="6" spans="1:15" ht="9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6"/>
    </row>
    <row r="7" spans="1:15" ht="15.75" thickBot="1">
      <c r="A7" s="151"/>
      <c r="B7" s="151"/>
      <c r="C7" s="151"/>
      <c r="D7" s="151"/>
      <c r="E7" s="229"/>
      <c r="F7" s="229"/>
      <c r="G7" s="151"/>
      <c r="H7" s="151"/>
      <c r="I7" s="151"/>
      <c r="J7" s="151"/>
      <c r="L7" s="152"/>
      <c r="M7" s="152" t="s">
        <v>43</v>
      </c>
      <c r="N7" s="152"/>
      <c r="O7" s="61"/>
    </row>
    <row r="8" spans="1:16" s="54" customFormat="1" ht="35.25" customHeight="1">
      <c r="A8" s="741" t="s">
        <v>61</v>
      </c>
      <c r="B8" s="742" t="s">
        <v>0</v>
      </c>
      <c r="C8" s="744" t="s">
        <v>106</v>
      </c>
      <c r="D8" s="744" t="s">
        <v>484</v>
      </c>
      <c r="E8" s="615"/>
      <c r="F8" s="615"/>
      <c r="G8" s="744" t="s">
        <v>546</v>
      </c>
      <c r="H8" s="746" t="s">
        <v>97</v>
      </c>
      <c r="I8" s="747"/>
      <c r="J8" s="747"/>
      <c r="K8" s="747"/>
      <c r="L8" s="747"/>
      <c r="M8" s="747"/>
      <c r="N8" s="748"/>
      <c r="O8" s="612"/>
      <c r="P8" s="158"/>
    </row>
    <row r="9" spans="1:16" s="54" customFormat="1" ht="23.25" customHeight="1">
      <c r="A9" s="741"/>
      <c r="B9" s="743"/>
      <c r="C9" s="745"/>
      <c r="D9" s="745"/>
      <c r="E9" s="153">
        <v>2007</v>
      </c>
      <c r="F9" s="153">
        <v>2008</v>
      </c>
      <c r="G9" s="745"/>
      <c r="H9" s="153">
        <v>2009</v>
      </c>
      <c r="I9" s="153">
        <v>2010</v>
      </c>
      <c r="J9" s="153">
        <v>2011</v>
      </c>
      <c r="K9" s="153">
        <v>2012</v>
      </c>
      <c r="L9" s="153">
        <v>2013</v>
      </c>
      <c r="M9" s="153">
        <v>2014</v>
      </c>
      <c r="N9" s="616">
        <v>2015</v>
      </c>
      <c r="O9" s="613"/>
      <c r="P9" s="158"/>
    </row>
    <row r="10" spans="1:16" s="54" customFormat="1" ht="28.5" customHeight="1">
      <c r="A10" s="606" t="s">
        <v>12</v>
      </c>
      <c r="B10" s="617" t="s">
        <v>435</v>
      </c>
      <c r="C10" s="154">
        <v>3970000</v>
      </c>
      <c r="D10" s="431">
        <f>+D11+D15</f>
        <v>9175000</v>
      </c>
      <c r="E10" s="431">
        <f>+E11+E15</f>
        <v>9175000</v>
      </c>
      <c r="F10" s="431">
        <f>+F11+F15</f>
        <v>11325000</v>
      </c>
      <c r="G10" s="539">
        <f aca="true" t="shared" si="0" ref="G10:N10">+G11+G15</f>
        <v>11325000</v>
      </c>
      <c r="H10" s="539">
        <f t="shared" si="0"/>
        <v>14725000</v>
      </c>
      <c r="I10" s="539">
        <f t="shared" si="0"/>
        <v>15125000</v>
      </c>
      <c r="J10" s="539">
        <f t="shared" si="0"/>
        <v>11500000</v>
      </c>
      <c r="K10" s="539">
        <f t="shared" si="0"/>
        <v>7875000</v>
      </c>
      <c r="L10" s="539">
        <f t="shared" si="0"/>
        <v>4250000</v>
      </c>
      <c r="M10" s="539">
        <f t="shared" si="0"/>
        <v>1625000</v>
      </c>
      <c r="N10" s="618">
        <f t="shared" si="0"/>
        <v>0</v>
      </c>
      <c r="O10" s="614"/>
      <c r="P10" s="158"/>
    </row>
    <row r="11" spans="1:15" s="53" customFormat="1" ht="31.5" customHeight="1">
      <c r="A11" s="606" t="s">
        <v>88</v>
      </c>
      <c r="B11" s="619" t="s">
        <v>167</v>
      </c>
      <c r="C11" s="155">
        <v>3970000</v>
      </c>
      <c r="D11" s="432">
        <f>SUM(D12:D14)</f>
        <v>9175000</v>
      </c>
      <c r="E11" s="432">
        <f>SUM(E12:E14)</f>
        <v>2425000</v>
      </c>
      <c r="F11" s="432">
        <f>SUM(F12:F14)</f>
        <v>6325000</v>
      </c>
      <c r="G11" s="538">
        <f aca="true" t="shared" si="1" ref="G11:N11">SUM(G12:G14)</f>
        <v>6325000</v>
      </c>
      <c r="H11" s="538">
        <f t="shared" si="1"/>
        <v>8725000</v>
      </c>
      <c r="I11" s="538">
        <f t="shared" si="1"/>
        <v>11125000</v>
      </c>
      <c r="J11" s="538">
        <f t="shared" si="1"/>
        <v>11500000</v>
      </c>
      <c r="K11" s="538">
        <f t="shared" si="1"/>
        <v>7875000</v>
      </c>
      <c r="L11" s="538">
        <f t="shared" si="1"/>
        <v>4250000</v>
      </c>
      <c r="M11" s="538">
        <f t="shared" si="1"/>
        <v>1625000</v>
      </c>
      <c r="N11" s="620">
        <f t="shared" si="1"/>
        <v>0</v>
      </c>
      <c r="O11" s="142"/>
    </row>
    <row r="12" spans="1:15" s="53" customFormat="1" ht="15" customHeight="1">
      <c r="A12" s="607" t="s">
        <v>150</v>
      </c>
      <c r="B12" s="621" t="s">
        <v>98</v>
      </c>
      <c r="C12" s="155">
        <v>320000</v>
      </c>
      <c r="D12" s="432">
        <v>0</v>
      </c>
      <c r="E12" s="432">
        <v>0</v>
      </c>
      <c r="F12" s="432"/>
      <c r="G12" s="538"/>
      <c r="H12" s="538"/>
      <c r="I12" s="538">
        <v>5000000</v>
      </c>
      <c r="J12" s="538">
        <v>4000000</v>
      </c>
      <c r="K12" s="538">
        <v>3000000</v>
      </c>
      <c r="L12" s="538">
        <v>2000000</v>
      </c>
      <c r="M12" s="538">
        <v>1000000</v>
      </c>
      <c r="N12" s="620"/>
      <c r="O12" s="142"/>
    </row>
    <row r="13" spans="1:15" s="53" customFormat="1" ht="15" customHeight="1">
      <c r="A13" s="607" t="s">
        <v>151</v>
      </c>
      <c r="B13" s="621" t="s">
        <v>99</v>
      </c>
      <c r="C13" s="155">
        <v>2400000</v>
      </c>
      <c r="D13" s="432">
        <f>1800000+3000000</f>
        <v>4800000</v>
      </c>
      <c r="E13" s="432">
        <v>1800000</v>
      </c>
      <c r="F13" s="432">
        <f>1200000+2000000</f>
        <v>3200000</v>
      </c>
      <c r="G13" s="538">
        <f>1200000+2000000</f>
        <v>3200000</v>
      </c>
      <c r="H13" s="538">
        <f>600000+1000000+4000000</f>
        <v>5600000</v>
      </c>
      <c r="I13" s="538">
        <f>3000000</f>
        <v>3000000</v>
      </c>
      <c r="J13" s="538">
        <f>2000000+3000000</f>
        <v>5000000</v>
      </c>
      <c r="K13" s="538">
        <f>1000000+2000000</f>
        <v>3000000</v>
      </c>
      <c r="L13" s="538">
        <f>0+1000000</f>
        <v>1000000</v>
      </c>
      <c r="M13" s="538">
        <v>0</v>
      </c>
      <c r="N13" s="620"/>
      <c r="O13" s="143"/>
    </row>
    <row r="14" spans="1:15" s="53" customFormat="1" ht="18.75" customHeight="1">
      <c r="A14" s="607" t="s">
        <v>152</v>
      </c>
      <c r="B14" s="621" t="s">
        <v>100</v>
      </c>
      <c r="C14" s="155">
        <v>1250000</v>
      </c>
      <c r="D14" s="432">
        <f>625000+3750000</f>
        <v>4375000</v>
      </c>
      <c r="E14" s="432">
        <v>625000</v>
      </c>
      <c r="F14" s="432">
        <v>3125000</v>
      </c>
      <c r="G14" s="538">
        <v>3125000</v>
      </c>
      <c r="H14" s="538">
        <v>3125000</v>
      </c>
      <c r="I14" s="538">
        <v>3125000</v>
      </c>
      <c r="J14" s="538">
        <f>+I14-J31</f>
        <v>2500000</v>
      </c>
      <c r="K14" s="538">
        <f>+J14-K31</f>
        <v>1875000</v>
      </c>
      <c r="L14" s="538">
        <f>+K14-L31</f>
        <v>1250000</v>
      </c>
      <c r="M14" s="538">
        <f>+L14-M31</f>
        <v>625000</v>
      </c>
      <c r="N14" s="620"/>
      <c r="O14" s="143"/>
    </row>
    <row r="15" spans="1:15" s="53" customFormat="1" ht="32.25" customHeight="1">
      <c r="A15" s="606" t="s">
        <v>90</v>
      </c>
      <c r="B15" s="619" t="s">
        <v>626</v>
      </c>
      <c r="C15" s="156">
        <v>0</v>
      </c>
      <c r="D15" s="432">
        <f>SUM(D16:D19)</f>
        <v>0</v>
      </c>
      <c r="E15" s="432">
        <f>SUM(E16:E19)</f>
        <v>6750000</v>
      </c>
      <c r="F15" s="432">
        <f>SUM(F16:F19)</f>
        <v>5000000</v>
      </c>
      <c r="G15" s="538">
        <f aca="true" t="shared" si="2" ref="G15:N15">SUM(G16:G19)</f>
        <v>5000000</v>
      </c>
      <c r="H15" s="538">
        <f t="shared" si="2"/>
        <v>6000000</v>
      </c>
      <c r="I15" s="538">
        <f t="shared" si="2"/>
        <v>4000000</v>
      </c>
      <c r="J15" s="538">
        <f t="shared" si="2"/>
        <v>0</v>
      </c>
      <c r="K15" s="538">
        <f t="shared" si="2"/>
        <v>0</v>
      </c>
      <c r="L15" s="538">
        <f t="shared" si="2"/>
        <v>0</v>
      </c>
      <c r="M15" s="538">
        <f t="shared" si="2"/>
        <v>0</v>
      </c>
      <c r="N15" s="620">
        <f t="shared" si="2"/>
        <v>0</v>
      </c>
      <c r="O15" s="142"/>
    </row>
    <row r="16" spans="1:15" s="53" customFormat="1" ht="15" customHeight="1">
      <c r="A16" s="607" t="s">
        <v>153</v>
      </c>
      <c r="B16" s="621" t="s">
        <v>101</v>
      </c>
      <c r="C16" s="156">
        <v>0</v>
      </c>
      <c r="D16" s="432"/>
      <c r="E16" s="432"/>
      <c r="F16" s="432"/>
      <c r="G16" s="538"/>
      <c r="H16" s="538">
        <v>6000000</v>
      </c>
      <c r="I16" s="538"/>
      <c r="J16" s="538"/>
      <c r="K16" s="538"/>
      <c r="L16" s="538"/>
      <c r="M16" s="538"/>
      <c r="N16" s="620"/>
      <c r="O16" s="142"/>
    </row>
    <row r="17" spans="1:15" s="53" customFormat="1" ht="15" customHeight="1">
      <c r="A17" s="607" t="s">
        <v>154</v>
      </c>
      <c r="B17" s="621" t="s">
        <v>102</v>
      </c>
      <c r="C17" s="156">
        <v>0</v>
      </c>
      <c r="D17" s="432"/>
      <c r="E17" s="432">
        <v>3000000</v>
      </c>
      <c r="F17" s="432">
        <v>5000000</v>
      </c>
      <c r="G17" s="538">
        <v>5000000</v>
      </c>
      <c r="H17" s="538"/>
      <c r="I17" s="538">
        <v>4000000</v>
      </c>
      <c r="J17" s="538"/>
      <c r="K17" s="538"/>
      <c r="L17" s="538"/>
      <c r="M17" s="538"/>
      <c r="N17" s="620"/>
      <c r="O17" s="142"/>
    </row>
    <row r="18" spans="1:15" s="53" customFormat="1" ht="15" customHeight="1">
      <c r="A18" s="607"/>
      <c r="B18" s="622" t="s">
        <v>481</v>
      </c>
      <c r="C18" s="156">
        <v>0</v>
      </c>
      <c r="D18" s="432"/>
      <c r="E18" s="432"/>
      <c r="F18" s="432"/>
      <c r="G18" s="538"/>
      <c r="H18" s="538"/>
      <c r="I18" s="538"/>
      <c r="J18" s="538"/>
      <c r="K18" s="538"/>
      <c r="L18" s="538"/>
      <c r="M18" s="538"/>
      <c r="N18" s="620"/>
      <c r="O18" s="142"/>
    </row>
    <row r="19" spans="1:15" s="53" customFormat="1" ht="15" customHeight="1">
      <c r="A19" s="607" t="s">
        <v>155</v>
      </c>
      <c r="B19" s="621" t="s">
        <v>83</v>
      </c>
      <c r="C19" s="156">
        <v>0</v>
      </c>
      <c r="D19" s="432"/>
      <c r="E19" s="432">
        <v>3750000</v>
      </c>
      <c r="F19" s="432"/>
      <c r="G19" s="538"/>
      <c r="H19" s="538"/>
      <c r="I19" s="538"/>
      <c r="J19" s="538"/>
      <c r="K19" s="538"/>
      <c r="L19" s="538"/>
      <c r="M19" s="538"/>
      <c r="N19" s="620"/>
      <c r="O19" s="142"/>
    </row>
    <row r="20" spans="1:15" s="53" customFormat="1" ht="29.25" customHeight="1">
      <c r="A20" s="606" t="s">
        <v>91</v>
      </c>
      <c r="B20" s="619" t="s">
        <v>103</v>
      </c>
      <c r="C20" s="435">
        <v>0</v>
      </c>
      <c r="D20" s="431">
        <v>0</v>
      </c>
      <c r="E20" s="431">
        <v>0</v>
      </c>
      <c r="F20" s="431">
        <v>0</v>
      </c>
      <c r="G20" s="539">
        <v>0</v>
      </c>
      <c r="H20" s="539">
        <v>0</v>
      </c>
      <c r="I20" s="539">
        <v>0</v>
      </c>
      <c r="J20" s="539">
        <v>0</v>
      </c>
      <c r="K20" s="539">
        <v>0</v>
      </c>
      <c r="L20" s="539"/>
      <c r="M20" s="539">
        <v>0</v>
      </c>
      <c r="N20" s="618">
        <v>0</v>
      </c>
      <c r="O20" s="144"/>
    </row>
    <row r="21" spans="1:15" s="53" customFormat="1" ht="15" customHeight="1">
      <c r="A21" s="607" t="s">
        <v>168</v>
      </c>
      <c r="B21" s="622" t="s">
        <v>170</v>
      </c>
      <c r="C21" s="156">
        <v>0</v>
      </c>
      <c r="D21" s="432"/>
      <c r="E21" s="432"/>
      <c r="F21" s="432"/>
      <c r="G21" s="538"/>
      <c r="H21" s="538"/>
      <c r="I21" s="538"/>
      <c r="J21" s="538"/>
      <c r="K21" s="538"/>
      <c r="L21" s="538"/>
      <c r="M21" s="538"/>
      <c r="N21" s="620"/>
      <c r="O21" s="145"/>
    </row>
    <row r="22" spans="1:15" s="53" customFormat="1" ht="15" customHeight="1">
      <c r="A22" s="607" t="s">
        <v>169</v>
      </c>
      <c r="B22" s="622" t="s">
        <v>171</v>
      </c>
      <c r="C22" s="156">
        <v>0</v>
      </c>
      <c r="D22" s="432"/>
      <c r="E22" s="432"/>
      <c r="F22" s="432"/>
      <c r="G22" s="538"/>
      <c r="H22" s="538"/>
      <c r="I22" s="538"/>
      <c r="J22" s="538"/>
      <c r="K22" s="538"/>
      <c r="L22" s="538"/>
      <c r="M22" s="538"/>
      <c r="N22" s="620"/>
      <c r="O22" s="145"/>
    </row>
    <row r="23" spans="1:15" s="54" customFormat="1" ht="22.5" customHeight="1">
      <c r="A23" s="606">
        <v>2</v>
      </c>
      <c r="B23" s="617" t="s">
        <v>166</v>
      </c>
      <c r="C23" s="154">
        <v>1268400</v>
      </c>
      <c r="D23" s="431">
        <f>+D24+D34</f>
        <v>1942600</v>
      </c>
      <c r="E23" s="431">
        <f>+E24+E34</f>
        <v>1942600</v>
      </c>
      <c r="F23" s="431">
        <f>+F24+F34</f>
        <v>3567000</v>
      </c>
      <c r="G23" s="539">
        <f aca="true" t="shared" si="3" ref="G23:N23">+G24+G34</f>
        <v>3567000</v>
      </c>
      <c r="H23" s="539">
        <f t="shared" si="3"/>
        <v>3578000</v>
      </c>
      <c r="I23" s="539">
        <f t="shared" si="3"/>
        <v>4604567</v>
      </c>
      <c r="J23" s="539">
        <f t="shared" si="3"/>
        <v>4255968</v>
      </c>
      <c r="K23" s="539">
        <f t="shared" si="3"/>
        <v>4148039</v>
      </c>
      <c r="L23" s="539">
        <f t="shared" si="3"/>
        <v>3907275</v>
      </c>
      <c r="M23" s="539">
        <f t="shared" si="3"/>
        <v>2799346</v>
      </c>
      <c r="N23" s="618">
        <f t="shared" si="3"/>
        <v>1705000</v>
      </c>
      <c r="O23" s="143"/>
    </row>
    <row r="24" spans="1:15" s="54" customFormat="1" ht="28.5" customHeight="1">
      <c r="A24" s="606" t="s">
        <v>92</v>
      </c>
      <c r="B24" s="617" t="s">
        <v>165</v>
      </c>
      <c r="C24" s="155">
        <v>920000</v>
      </c>
      <c r="D24" s="432">
        <f>SUM(D25:D32)</f>
        <v>1545000</v>
      </c>
      <c r="E24" s="432">
        <f>SUM(E25:E32)</f>
        <v>1545000</v>
      </c>
      <c r="F24" s="432">
        <f>SUM(F25:F32)</f>
        <v>2850000</v>
      </c>
      <c r="G24" s="538">
        <f>SUM(G25:G32)</f>
        <v>2850000</v>
      </c>
      <c r="H24" s="538">
        <f>SUM(H25,H31:H32)</f>
        <v>2600000</v>
      </c>
      <c r="I24" s="538">
        <f aca="true" t="shared" si="4" ref="I24:N24">SUM(I25,I31:I32)</f>
        <v>3600000</v>
      </c>
      <c r="J24" s="538">
        <f t="shared" si="4"/>
        <v>3625000</v>
      </c>
      <c r="K24" s="538">
        <f t="shared" si="4"/>
        <v>3625000</v>
      </c>
      <c r="L24" s="538">
        <f t="shared" si="4"/>
        <v>3625000</v>
      </c>
      <c r="M24" s="538">
        <f t="shared" si="4"/>
        <v>2625000</v>
      </c>
      <c r="N24" s="620">
        <f t="shared" si="4"/>
        <v>1625000</v>
      </c>
      <c r="O24" s="143"/>
    </row>
    <row r="25" spans="1:16" s="53" customFormat="1" ht="15" customHeight="1">
      <c r="A25" s="607" t="s">
        <v>147</v>
      </c>
      <c r="B25" s="621" t="s">
        <v>158</v>
      </c>
      <c r="C25" s="155">
        <v>920000</v>
      </c>
      <c r="D25" s="432">
        <v>920000</v>
      </c>
      <c r="E25" s="432">
        <v>920000</v>
      </c>
      <c r="F25" s="432">
        <f>600000+1000000</f>
        <v>1600000</v>
      </c>
      <c r="G25" s="538">
        <f>600000+1000000</f>
        <v>1600000</v>
      </c>
      <c r="H25" s="538">
        <f>600000+1000000+1000000</f>
        <v>2600000</v>
      </c>
      <c r="I25" s="538">
        <f>600000+1000000+1000000+1000000</f>
        <v>3600000</v>
      </c>
      <c r="J25" s="538">
        <f>1000000+1000000+1000000</f>
        <v>3000000</v>
      </c>
      <c r="K25" s="538">
        <f>1000000+1000000+1000000</f>
        <v>3000000</v>
      </c>
      <c r="L25" s="538">
        <f>1000000+1000000+1000000</f>
        <v>3000000</v>
      </c>
      <c r="M25" s="538">
        <f>1000000+1000000</f>
        <v>2000000</v>
      </c>
      <c r="N25" s="620">
        <v>1000000</v>
      </c>
      <c r="O25" s="143">
        <f>SUM(J25:N25)</f>
        <v>12000000</v>
      </c>
      <c r="P25" s="230"/>
    </row>
    <row r="26" spans="1:16" s="53" customFormat="1" ht="15" customHeight="1" hidden="1" outlineLevel="1">
      <c r="A26" s="608"/>
      <c r="B26" s="623" t="s">
        <v>645</v>
      </c>
      <c r="C26" s="556"/>
      <c r="D26" s="557"/>
      <c r="E26" s="557"/>
      <c r="F26" s="557"/>
      <c r="G26" s="558"/>
      <c r="H26" s="558">
        <v>1000000</v>
      </c>
      <c r="I26" s="558">
        <v>1000000</v>
      </c>
      <c r="J26" s="558"/>
      <c r="K26" s="558"/>
      <c r="L26" s="558"/>
      <c r="M26" s="558"/>
      <c r="N26" s="624"/>
      <c r="O26" s="143"/>
      <c r="P26" s="230"/>
    </row>
    <row r="27" spans="1:16" s="53" customFormat="1" ht="15" customHeight="1" hidden="1" outlineLevel="1">
      <c r="A27" s="609"/>
      <c r="B27" s="625" t="s">
        <v>643</v>
      </c>
      <c r="C27" s="559"/>
      <c r="D27" s="560"/>
      <c r="E27" s="560"/>
      <c r="F27" s="560"/>
      <c r="G27" s="561"/>
      <c r="H27" s="561">
        <v>600000</v>
      </c>
      <c r="I27" s="561">
        <v>600000</v>
      </c>
      <c r="J27" s="561"/>
      <c r="K27" s="561"/>
      <c r="L27" s="561"/>
      <c r="M27" s="561"/>
      <c r="N27" s="626"/>
      <c r="O27" s="143"/>
      <c r="P27" s="230"/>
    </row>
    <row r="28" spans="1:16" s="53" customFormat="1" ht="15" customHeight="1" hidden="1" outlineLevel="1">
      <c r="A28" s="609"/>
      <c r="B28" s="625" t="s">
        <v>648</v>
      </c>
      <c r="C28" s="559"/>
      <c r="D28" s="560"/>
      <c r="E28" s="560"/>
      <c r="F28" s="560"/>
      <c r="G28" s="561"/>
      <c r="H28" s="561"/>
      <c r="I28" s="561"/>
      <c r="J28" s="561">
        <v>1000000</v>
      </c>
      <c r="K28" s="561">
        <v>1000000</v>
      </c>
      <c r="L28" s="561">
        <v>1000000</v>
      </c>
      <c r="M28" s="561">
        <v>1000000</v>
      </c>
      <c r="N28" s="626"/>
      <c r="O28" s="143"/>
      <c r="P28" s="230"/>
    </row>
    <row r="29" spans="1:16" s="53" customFormat="1" ht="15" customHeight="1" hidden="1" outlineLevel="1">
      <c r="A29" s="609"/>
      <c r="B29" s="625" t="s">
        <v>647</v>
      </c>
      <c r="C29" s="559"/>
      <c r="D29" s="560"/>
      <c r="E29" s="560"/>
      <c r="F29" s="560"/>
      <c r="G29" s="561"/>
      <c r="H29" s="561">
        <v>1000000</v>
      </c>
      <c r="I29" s="561">
        <v>1000000</v>
      </c>
      <c r="J29" s="561">
        <v>1000000</v>
      </c>
      <c r="K29" s="561">
        <v>1000000</v>
      </c>
      <c r="L29" s="561">
        <v>1000000</v>
      </c>
      <c r="M29" s="561"/>
      <c r="N29" s="626"/>
      <c r="O29" s="143"/>
      <c r="P29" s="230"/>
    </row>
    <row r="30" spans="1:16" s="53" customFormat="1" ht="15" customHeight="1" hidden="1" outlineLevel="1">
      <c r="A30" s="610"/>
      <c r="B30" s="627" t="s">
        <v>646</v>
      </c>
      <c r="C30" s="562"/>
      <c r="D30" s="563"/>
      <c r="E30" s="563"/>
      <c r="F30" s="563"/>
      <c r="G30" s="564"/>
      <c r="H30" s="564"/>
      <c r="I30" s="564">
        <v>1000000</v>
      </c>
      <c r="J30" s="564">
        <v>1000000</v>
      </c>
      <c r="K30" s="564">
        <v>1000000</v>
      </c>
      <c r="L30" s="564">
        <v>1000000</v>
      </c>
      <c r="M30" s="564">
        <v>1000000</v>
      </c>
      <c r="N30" s="628">
        <v>1000000</v>
      </c>
      <c r="O30" s="143"/>
      <c r="P30" s="230"/>
    </row>
    <row r="31" spans="1:15" s="53" customFormat="1" ht="15" customHeight="1" collapsed="1">
      <c r="A31" s="607" t="s">
        <v>148</v>
      </c>
      <c r="B31" s="621" t="s">
        <v>160</v>
      </c>
      <c r="C31" s="155">
        <v>0</v>
      </c>
      <c r="D31" s="432">
        <v>625000</v>
      </c>
      <c r="E31" s="432">
        <v>625000</v>
      </c>
      <c r="F31" s="432">
        <v>1250000</v>
      </c>
      <c r="G31" s="538">
        <v>1250000</v>
      </c>
      <c r="H31" s="538">
        <v>0</v>
      </c>
      <c r="I31" s="538">
        <v>0</v>
      </c>
      <c r="J31" s="538">
        <v>625000</v>
      </c>
      <c r="K31" s="538">
        <v>625000</v>
      </c>
      <c r="L31" s="538">
        <v>625000</v>
      </c>
      <c r="M31" s="538">
        <v>625000</v>
      </c>
      <c r="N31" s="620">
        <v>625000</v>
      </c>
      <c r="O31" s="143"/>
    </row>
    <row r="32" spans="1:15" s="53" customFormat="1" ht="15" customHeight="1">
      <c r="A32" s="607" t="s">
        <v>149</v>
      </c>
      <c r="B32" s="621" t="s">
        <v>159</v>
      </c>
      <c r="C32" s="155">
        <v>0</v>
      </c>
      <c r="D32" s="432">
        <v>0</v>
      </c>
      <c r="E32" s="432">
        <v>0</v>
      </c>
      <c r="F32" s="432">
        <v>0</v>
      </c>
      <c r="G32" s="538">
        <v>0</v>
      </c>
      <c r="H32" s="538">
        <v>0</v>
      </c>
      <c r="I32" s="538">
        <v>0</v>
      </c>
      <c r="J32" s="538">
        <v>0</v>
      </c>
      <c r="K32" s="538">
        <v>0</v>
      </c>
      <c r="L32" s="538">
        <v>0</v>
      </c>
      <c r="M32" s="538">
        <v>0</v>
      </c>
      <c r="N32" s="620">
        <v>0</v>
      </c>
      <c r="O32" s="143"/>
    </row>
    <row r="33" spans="1:15" s="53" customFormat="1" ht="15" customHeight="1">
      <c r="A33" s="606" t="s">
        <v>93</v>
      </c>
      <c r="B33" s="619" t="s">
        <v>157</v>
      </c>
      <c r="C33" s="436">
        <v>0</v>
      </c>
      <c r="D33" s="434">
        <v>0</v>
      </c>
      <c r="E33" s="434">
        <v>0</v>
      </c>
      <c r="F33" s="434">
        <v>0</v>
      </c>
      <c r="G33" s="538">
        <v>0</v>
      </c>
      <c r="H33" s="538">
        <v>0</v>
      </c>
      <c r="I33" s="538">
        <v>0</v>
      </c>
      <c r="J33" s="538">
        <v>0</v>
      </c>
      <c r="K33" s="538">
        <v>0</v>
      </c>
      <c r="L33" s="538"/>
      <c r="M33" s="538">
        <v>0</v>
      </c>
      <c r="N33" s="620">
        <v>0</v>
      </c>
      <c r="O33" s="143"/>
    </row>
    <row r="34" spans="1:15" s="76" customFormat="1" ht="14.25" customHeight="1">
      <c r="A34" s="606" t="s">
        <v>146</v>
      </c>
      <c r="B34" s="619" t="s">
        <v>156</v>
      </c>
      <c r="C34" s="154">
        <v>348400</v>
      </c>
      <c r="D34" s="431">
        <v>397600</v>
      </c>
      <c r="E34" s="431">
        <v>397600</v>
      </c>
      <c r="F34" s="431">
        <f>254000+132000+81000+250000</f>
        <v>717000</v>
      </c>
      <c r="G34" s="539">
        <f>254000+132000+81000+250000</f>
        <v>717000</v>
      </c>
      <c r="H34" s="539">
        <v>978000</v>
      </c>
      <c r="I34" s="539">
        <v>1004567</v>
      </c>
      <c r="J34" s="539">
        <v>630968</v>
      </c>
      <c r="K34" s="539">
        <v>523039</v>
      </c>
      <c r="L34" s="539">
        <v>282275</v>
      </c>
      <c r="M34" s="539">
        <v>174346</v>
      </c>
      <c r="N34" s="618">
        <v>80000</v>
      </c>
      <c r="O34" s="143"/>
    </row>
    <row r="35" spans="1:15" s="54" customFormat="1" ht="22.5" customHeight="1">
      <c r="A35" s="606" t="s">
        <v>14</v>
      </c>
      <c r="B35" s="617" t="s">
        <v>104</v>
      </c>
      <c r="C35" s="156">
        <v>39829150</v>
      </c>
      <c r="D35" s="432">
        <v>47350287</v>
      </c>
      <c r="E35" s="432">
        <v>47350287</v>
      </c>
      <c r="F35" s="432">
        <v>51717576</v>
      </c>
      <c r="G35" s="538">
        <v>54767555</v>
      </c>
      <c r="H35" s="538">
        <f>+1!F73</f>
        <v>52572513</v>
      </c>
      <c r="I35" s="538">
        <f>49318230+1000000</f>
        <v>50318230</v>
      </c>
      <c r="J35" s="538">
        <f>48691780+1000000+1000000</f>
        <v>50691780</v>
      </c>
      <c r="K35" s="538">
        <f>49091530+1000000+1000000</f>
        <v>51091530</v>
      </c>
      <c r="L35" s="538">
        <f>49518280+1000000+1000000</f>
        <v>51518280</v>
      </c>
      <c r="M35" s="538">
        <f>49972830+1000000+1000000</f>
        <v>51972830</v>
      </c>
      <c r="N35" s="620">
        <f>50956010+1000000</f>
        <v>51956010</v>
      </c>
      <c r="O35" s="146"/>
    </row>
    <row r="36" spans="1:15" s="69" customFormat="1" ht="15.75">
      <c r="A36" s="606" t="s">
        <v>1</v>
      </c>
      <c r="B36" s="617" t="s">
        <v>487</v>
      </c>
      <c r="C36" s="156">
        <v>39282887</v>
      </c>
      <c r="D36" s="432">
        <v>54481132</v>
      </c>
      <c r="E36" s="432">
        <v>54481132</v>
      </c>
      <c r="F36" s="432">
        <f>53867576</f>
        <v>53867576</v>
      </c>
      <c r="G36" s="538">
        <f>+G35+2150000</f>
        <v>56917555</v>
      </c>
      <c r="H36" s="538">
        <f>+2!E255-0</f>
        <v>55972513</v>
      </c>
      <c r="I36" s="538">
        <f>49318230-2600000+4000000</f>
        <v>50718230</v>
      </c>
      <c r="J36" s="538">
        <f>53867576-6800796</f>
        <v>47066780</v>
      </c>
      <c r="K36" s="538">
        <f>53867576-6401046</f>
        <v>47466530</v>
      </c>
      <c r="L36" s="538">
        <f>53867576-5974296</f>
        <v>47893280</v>
      </c>
      <c r="M36" s="538">
        <f>53867576-4519746</f>
        <v>49347830</v>
      </c>
      <c r="N36" s="620">
        <f>53867576-3536566</f>
        <v>50331010</v>
      </c>
      <c r="O36" s="146"/>
    </row>
    <row r="37" spans="1:15" s="69" customFormat="1" ht="22.5" customHeight="1">
      <c r="A37" s="606" t="s">
        <v>19</v>
      </c>
      <c r="B37" s="617" t="s">
        <v>122</v>
      </c>
      <c r="C37" s="156">
        <f>+C35-C36</f>
        <v>546263</v>
      </c>
      <c r="D37" s="432">
        <f aca="true" t="shared" si="5" ref="D37:N37">+D35-D36</f>
        <v>-7130845</v>
      </c>
      <c r="E37" s="432">
        <f t="shared" si="5"/>
        <v>-7130845</v>
      </c>
      <c r="F37" s="432">
        <f t="shared" si="5"/>
        <v>-2150000</v>
      </c>
      <c r="G37" s="538">
        <f t="shared" si="5"/>
        <v>-2150000</v>
      </c>
      <c r="H37" s="538">
        <f t="shared" si="5"/>
        <v>-3400000</v>
      </c>
      <c r="I37" s="538">
        <f t="shared" si="5"/>
        <v>-400000</v>
      </c>
      <c r="J37" s="538">
        <f t="shared" si="5"/>
        <v>3625000</v>
      </c>
      <c r="K37" s="538">
        <f t="shared" si="5"/>
        <v>3625000</v>
      </c>
      <c r="L37" s="538">
        <f t="shared" si="5"/>
        <v>3625000</v>
      </c>
      <c r="M37" s="538">
        <f t="shared" si="5"/>
        <v>2625000</v>
      </c>
      <c r="N37" s="620">
        <f t="shared" si="5"/>
        <v>1625000</v>
      </c>
      <c r="O37" s="146"/>
    </row>
    <row r="38" spans="1:15" s="54" customFormat="1" ht="22.5" customHeight="1">
      <c r="A38" s="606" t="s">
        <v>22</v>
      </c>
      <c r="B38" s="617" t="s">
        <v>105</v>
      </c>
      <c r="C38" s="155"/>
      <c r="D38" s="432"/>
      <c r="E38" s="432"/>
      <c r="F38" s="432"/>
      <c r="G38" s="432"/>
      <c r="H38" s="432"/>
      <c r="I38" s="432"/>
      <c r="J38" s="432"/>
      <c r="K38" s="433"/>
      <c r="L38" s="433"/>
      <c r="M38" s="433"/>
      <c r="N38" s="629"/>
      <c r="O38" s="147"/>
    </row>
    <row r="39" spans="1:15" s="53" customFormat="1" ht="16.5" customHeight="1">
      <c r="A39" s="606" t="s">
        <v>161</v>
      </c>
      <c r="B39" s="617" t="s">
        <v>436</v>
      </c>
      <c r="C39" s="436">
        <f>+C10/C35*100</f>
        <v>9.967574000449419</v>
      </c>
      <c r="D39" s="434">
        <f>+D10/D35*100</f>
        <v>19.376862488710998</v>
      </c>
      <c r="E39" s="434">
        <f>+E10/E35*100</f>
        <v>19.376862488710998</v>
      </c>
      <c r="F39" s="434">
        <f>+F10/F35*100</f>
        <v>21.89777803971323</v>
      </c>
      <c r="G39" s="434">
        <f aca="true" t="shared" si="6" ref="G39:N39">+G10/G35*100</f>
        <v>20.678301231449897</v>
      </c>
      <c r="H39" s="434">
        <f t="shared" si="6"/>
        <v>28.008933109208613</v>
      </c>
      <c r="I39" s="434">
        <f t="shared" si="6"/>
        <v>30.05868847135521</v>
      </c>
      <c r="J39" s="434">
        <f t="shared" si="6"/>
        <v>22.686123864658136</v>
      </c>
      <c r="K39" s="434">
        <f t="shared" si="6"/>
        <v>15.413513746799126</v>
      </c>
      <c r="L39" s="434">
        <f t="shared" si="6"/>
        <v>8.2494990127776</v>
      </c>
      <c r="M39" s="434">
        <f t="shared" si="6"/>
        <v>3.126633666090532</v>
      </c>
      <c r="N39" s="630">
        <f t="shared" si="6"/>
        <v>0</v>
      </c>
      <c r="O39" s="148"/>
    </row>
    <row r="40" spans="1:15" s="53" customFormat="1" ht="30.75">
      <c r="A40" s="606" t="s">
        <v>162</v>
      </c>
      <c r="B40" s="617" t="s">
        <v>547</v>
      </c>
      <c r="C40" s="155"/>
      <c r="D40" s="432"/>
      <c r="E40" s="432"/>
      <c r="F40" s="432"/>
      <c r="G40" s="432"/>
      <c r="H40" s="432"/>
      <c r="I40" s="432"/>
      <c r="J40" s="432"/>
      <c r="K40" s="433"/>
      <c r="L40" s="433"/>
      <c r="M40" s="433"/>
      <c r="N40" s="629"/>
      <c r="O40" s="149"/>
    </row>
    <row r="41" spans="1:15" s="53" customFormat="1" ht="30" customHeight="1">
      <c r="A41" s="606" t="s">
        <v>163</v>
      </c>
      <c r="B41" s="617" t="s">
        <v>437</v>
      </c>
      <c r="C41" s="437">
        <f>+C23/C35*100</f>
        <v>3.184602232284646</v>
      </c>
      <c r="D41" s="438">
        <f>+D23/D35*100</f>
        <v>4.102615048563487</v>
      </c>
      <c r="E41" s="438">
        <f aca="true" t="shared" si="7" ref="E41:N41">+E23/E35*100</f>
        <v>4.102615048563487</v>
      </c>
      <c r="F41" s="438">
        <f>+F23/F35*100</f>
        <v>6.897074990521597</v>
      </c>
      <c r="G41" s="438">
        <f t="shared" si="7"/>
        <v>6.512980175945411</v>
      </c>
      <c r="H41" s="438">
        <f t="shared" si="7"/>
        <v>6.805837871969331</v>
      </c>
      <c r="I41" s="438">
        <f t="shared" si="7"/>
        <v>9.150892231304638</v>
      </c>
      <c r="J41" s="438">
        <f t="shared" si="7"/>
        <v>8.395775409740988</v>
      </c>
      <c r="K41" s="438">
        <f t="shared" si="7"/>
        <v>8.118838876032877</v>
      </c>
      <c r="L41" s="438">
        <f t="shared" si="7"/>
        <v>7.584249707094258</v>
      </c>
      <c r="M41" s="438">
        <f t="shared" si="7"/>
        <v>5.386171967160534</v>
      </c>
      <c r="N41" s="631">
        <f t="shared" si="7"/>
        <v>3.281622280078859</v>
      </c>
      <c r="O41" s="149"/>
    </row>
    <row r="42" spans="1:15" s="53" customFormat="1" ht="28.5" customHeight="1" thickBot="1">
      <c r="A42" s="611" t="s">
        <v>164</v>
      </c>
      <c r="B42" s="632" t="s">
        <v>425</v>
      </c>
      <c r="C42" s="633"/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5"/>
      <c r="O42" s="149"/>
    </row>
    <row r="44" spans="3:14" ht="12.75">
      <c r="C44" s="233">
        <f>+C35+C15-C36-C24</f>
        <v>-373737</v>
      </c>
      <c r="D44" s="233">
        <f>+D35+D15-D36-D24-D34</f>
        <v>-9073445</v>
      </c>
      <c r="E44" s="233">
        <f>+E35+E15-E36-E24-E34</f>
        <v>-2323445</v>
      </c>
      <c r="F44" s="233"/>
      <c r="G44" s="233">
        <f aca="true" t="shared" si="8" ref="G44:N44">+G35+G15-G36-G24</f>
        <v>0</v>
      </c>
      <c r="H44" s="233">
        <f t="shared" si="8"/>
        <v>0</v>
      </c>
      <c r="I44" s="233">
        <f t="shared" si="8"/>
        <v>0</v>
      </c>
      <c r="J44" s="233">
        <f t="shared" si="8"/>
        <v>0</v>
      </c>
      <c r="K44" s="233">
        <f t="shared" si="8"/>
        <v>0</v>
      </c>
      <c r="L44" s="233">
        <f t="shared" si="8"/>
        <v>0</v>
      </c>
      <c r="M44" s="233">
        <f t="shared" si="8"/>
        <v>0</v>
      </c>
      <c r="N44" s="233">
        <f t="shared" si="8"/>
        <v>0</v>
      </c>
    </row>
    <row r="46" spans="4:14" ht="12.75">
      <c r="D46" s="232">
        <f>+D36+D34</f>
        <v>54878732</v>
      </c>
      <c r="E46" s="232">
        <f aca="true" t="shared" si="9" ref="E46:N46">+E36+E34</f>
        <v>54878732</v>
      </c>
      <c r="F46" s="232"/>
      <c r="G46" s="232">
        <f t="shared" si="9"/>
        <v>57634555</v>
      </c>
      <c r="H46" s="232">
        <f t="shared" si="9"/>
        <v>56950513</v>
      </c>
      <c r="I46" s="232">
        <f t="shared" si="9"/>
        <v>51722797</v>
      </c>
      <c r="J46" s="232">
        <f t="shared" si="9"/>
        <v>47697748</v>
      </c>
      <c r="K46" s="232">
        <f t="shared" si="9"/>
        <v>47989569</v>
      </c>
      <c r="L46" s="232">
        <f t="shared" si="9"/>
        <v>48175555</v>
      </c>
      <c r="M46" s="232">
        <f t="shared" si="9"/>
        <v>49522176</v>
      </c>
      <c r="N46" s="232">
        <f t="shared" si="9"/>
        <v>50411010</v>
      </c>
    </row>
    <row r="47" spans="3:6" ht="12.75">
      <c r="C47" s="231">
        <f>+C35-C36</f>
        <v>546263</v>
      </c>
      <c r="E47" s="232">
        <v>55028732</v>
      </c>
      <c r="F47" s="232"/>
    </row>
    <row r="48" spans="5:6" ht="12.75">
      <c r="E48" s="232">
        <f>+E36+E34</f>
        <v>54878732</v>
      </c>
      <c r="F48" s="232"/>
    </row>
    <row r="49" spans="4:14" ht="12.75">
      <c r="D49" s="232"/>
      <c r="E49" s="232">
        <v>54878732</v>
      </c>
      <c r="F49" s="232"/>
      <c r="G49" s="231">
        <f>+D10-G24+G15</f>
        <v>11325000</v>
      </c>
      <c r="H49" s="231">
        <f>+G10-H24+H15</f>
        <v>14725000</v>
      </c>
      <c r="I49" s="231">
        <f aca="true" t="shared" si="10" ref="I49:N49">+H10-I24+I15</f>
        <v>15125000</v>
      </c>
      <c r="J49" s="231">
        <f t="shared" si="10"/>
        <v>11500000</v>
      </c>
      <c r="K49" s="231">
        <f t="shared" si="10"/>
        <v>7875000</v>
      </c>
      <c r="L49" s="231">
        <f t="shared" si="10"/>
        <v>4250000</v>
      </c>
      <c r="M49" s="231">
        <f t="shared" si="10"/>
        <v>1625000</v>
      </c>
      <c r="N49" s="231">
        <f t="shared" si="10"/>
        <v>0</v>
      </c>
    </row>
    <row r="50" spans="4:14" ht="12.75">
      <c r="D50" s="232"/>
      <c r="E50" s="232">
        <f>+E49-E34</f>
        <v>54481132</v>
      </c>
      <c r="F50" s="232"/>
      <c r="H50" s="231">
        <f>+H10-H49</f>
        <v>0</v>
      </c>
      <c r="I50" s="231">
        <f aca="true" t="shared" si="11" ref="I50:N50">+I10-I49</f>
        <v>0</v>
      </c>
      <c r="J50" s="231">
        <f t="shared" si="11"/>
        <v>0</v>
      </c>
      <c r="K50" s="231">
        <f t="shared" si="11"/>
        <v>0</v>
      </c>
      <c r="L50" s="231">
        <f t="shared" si="11"/>
        <v>0</v>
      </c>
      <c r="M50" s="231">
        <f t="shared" si="11"/>
        <v>0</v>
      </c>
      <c r="N50" s="231">
        <f t="shared" si="11"/>
        <v>0</v>
      </c>
    </row>
    <row r="51" spans="4:14" ht="12.75">
      <c r="D51" s="232"/>
      <c r="E51" s="232"/>
      <c r="F51" s="232"/>
      <c r="H51" s="430">
        <f>+H34/H10</f>
        <v>0.0664176570458404</v>
      </c>
      <c r="I51" s="233">
        <f aca="true" t="shared" si="12" ref="I51:N51">+I10*$H51</f>
        <v>1004567.0628183362</v>
      </c>
      <c r="J51" s="233">
        <f t="shared" si="12"/>
        <v>763803.0560271647</v>
      </c>
      <c r="K51" s="233">
        <f t="shared" si="12"/>
        <v>523039.0492359932</v>
      </c>
      <c r="L51" s="233">
        <f t="shared" si="12"/>
        <v>282275.04244482174</v>
      </c>
      <c r="M51" s="233">
        <f t="shared" si="12"/>
        <v>107928.69269949065</v>
      </c>
      <c r="N51" s="233">
        <f t="shared" si="12"/>
        <v>0</v>
      </c>
    </row>
    <row r="52" spans="4:6" ht="12.75">
      <c r="D52" s="232"/>
      <c r="E52" s="232"/>
      <c r="F52" s="232"/>
    </row>
    <row r="53" spans="2:14" ht="12.75">
      <c r="B53" s="61" t="s">
        <v>643</v>
      </c>
      <c r="E53" s="232"/>
      <c r="F53" s="232"/>
      <c r="G53" s="233">
        <v>1200000</v>
      </c>
      <c r="H53" s="233">
        <v>600000</v>
      </c>
      <c r="I53" s="233"/>
      <c r="J53" s="233"/>
      <c r="K53" s="233"/>
      <c r="L53" s="233"/>
      <c r="M53" s="233"/>
      <c r="N53" s="233"/>
    </row>
    <row r="54" spans="2:14" ht="12.75">
      <c r="B54" s="61" t="s">
        <v>644</v>
      </c>
      <c r="E54" s="232"/>
      <c r="F54" s="232"/>
      <c r="G54" s="233">
        <v>2000000</v>
      </c>
      <c r="H54" s="233">
        <v>1000000</v>
      </c>
      <c r="I54" s="233"/>
      <c r="J54" s="233"/>
      <c r="K54" s="233"/>
      <c r="L54" s="233"/>
      <c r="M54" s="233"/>
      <c r="N54" s="233"/>
    </row>
    <row r="55" spans="8:14" ht="12.75">
      <c r="H55" s="233"/>
      <c r="I55" s="233"/>
      <c r="J55" s="233"/>
      <c r="K55" s="233"/>
      <c r="L55" s="233"/>
      <c r="M55" s="233"/>
      <c r="N55" s="233"/>
    </row>
  </sheetData>
  <mergeCells count="7">
    <mergeCell ref="A5:K5"/>
    <mergeCell ref="A8:A9"/>
    <mergeCell ref="B8:B9"/>
    <mergeCell ref="C8:C9"/>
    <mergeCell ref="D8:D9"/>
    <mergeCell ref="H8:N8"/>
    <mergeCell ref="G8:G9"/>
  </mergeCells>
  <printOptions horizontalCentered="1" verticalCentered="1"/>
  <pageMargins left="0.19" right="0.2" top="0.25" bottom="0.3" header="0.17" footer="0.16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6"/>
  <sheetViews>
    <sheetView view="pageBreakPreview" zoomScaleSheetLayoutView="100" workbookViewId="0" topLeftCell="A88">
      <selection activeCell="I3" sqref="I3"/>
    </sheetView>
  </sheetViews>
  <sheetFormatPr defaultColWidth="9.00390625" defaultRowHeight="12.75"/>
  <cols>
    <col min="1" max="1" width="5.625" style="1" customWidth="1"/>
    <col min="2" max="2" width="8.625" style="1" customWidth="1"/>
    <col min="3" max="3" width="66.625" style="1" customWidth="1"/>
    <col min="4" max="4" width="2.25390625" style="1" hidden="1" customWidth="1"/>
    <col min="5" max="5" width="14.00390625" style="1" customWidth="1"/>
    <col min="6" max="6" width="10.00390625" style="1" hidden="1" customWidth="1"/>
    <col min="7" max="7" width="13.625" style="1" customWidth="1"/>
    <col min="8" max="8" width="15.00390625" style="1" customWidth="1"/>
    <col min="9" max="9" width="11.625" style="1" customWidth="1"/>
    <col min="10" max="10" width="12.75390625" style="1" customWidth="1"/>
    <col min="11" max="11" width="13.25390625" style="1" customWidth="1"/>
    <col min="12" max="12" width="8.75390625" style="0" customWidth="1"/>
  </cols>
  <sheetData>
    <row r="1" spans="1:11" ht="31.5" customHeight="1">
      <c r="A1" s="5"/>
      <c r="B1" s="5"/>
      <c r="C1" s="5"/>
      <c r="D1" s="5"/>
      <c r="E1" s="5"/>
      <c r="F1" s="5"/>
      <c r="G1" s="5"/>
      <c r="H1" s="5"/>
      <c r="I1" s="690" t="s">
        <v>662</v>
      </c>
      <c r="J1" s="690"/>
      <c r="K1" s="690"/>
    </row>
    <row r="2" spans="1:11" ht="18">
      <c r="A2" s="648" t="s">
        <v>535</v>
      </c>
      <c r="B2" s="648"/>
      <c r="C2" s="648"/>
      <c r="D2" s="648"/>
      <c r="E2" s="648"/>
      <c r="F2" s="648"/>
      <c r="G2" s="648"/>
      <c r="H2" s="648"/>
      <c r="I2" s="690"/>
      <c r="J2" s="690"/>
      <c r="K2" s="690"/>
    </row>
    <row r="3" spans="1:11" ht="13.5" thickBot="1">
      <c r="A3" s="257"/>
      <c r="B3" s="257"/>
      <c r="C3" s="257"/>
      <c r="D3" s="257"/>
      <c r="E3" s="257"/>
      <c r="F3" s="257"/>
      <c r="G3" s="257"/>
      <c r="H3" s="5"/>
      <c r="I3" s="258"/>
      <c r="J3" s="258"/>
      <c r="K3" s="259" t="s">
        <v>58</v>
      </c>
    </row>
    <row r="4" spans="1:11" s="53" customFormat="1" ht="12.75">
      <c r="A4" s="649" t="s">
        <v>2</v>
      </c>
      <c r="B4" s="651" t="s">
        <v>3</v>
      </c>
      <c r="C4" s="688" t="s">
        <v>18</v>
      </c>
      <c r="D4" s="651" t="s">
        <v>496</v>
      </c>
      <c r="E4" s="651" t="s">
        <v>661</v>
      </c>
      <c r="F4" s="260" t="s">
        <v>458</v>
      </c>
      <c r="G4" s="651" t="s">
        <v>78</v>
      </c>
      <c r="H4" s="651"/>
      <c r="I4" s="651"/>
      <c r="J4" s="651"/>
      <c r="K4" s="691"/>
    </row>
    <row r="5" spans="1:11" s="53" customFormat="1" ht="12.75">
      <c r="A5" s="650"/>
      <c r="B5" s="652"/>
      <c r="C5" s="689"/>
      <c r="D5" s="652"/>
      <c r="E5" s="652"/>
      <c r="F5" s="268" t="s">
        <v>460</v>
      </c>
      <c r="G5" s="652" t="s">
        <v>38</v>
      </c>
      <c r="H5" s="652" t="s">
        <v>6</v>
      </c>
      <c r="I5" s="652"/>
      <c r="J5" s="652"/>
      <c r="K5" s="653" t="s">
        <v>41</v>
      </c>
    </row>
    <row r="6" spans="1:11" s="53" customFormat="1" ht="51">
      <c r="A6" s="650"/>
      <c r="B6" s="652"/>
      <c r="C6" s="689"/>
      <c r="D6" s="652"/>
      <c r="E6" s="652"/>
      <c r="F6" s="192" t="s">
        <v>459</v>
      </c>
      <c r="G6" s="652"/>
      <c r="H6" s="59" t="s">
        <v>503</v>
      </c>
      <c r="I6" s="59" t="s">
        <v>96</v>
      </c>
      <c r="J6" s="59" t="s">
        <v>524</v>
      </c>
      <c r="K6" s="653"/>
    </row>
    <row r="7" spans="1:11" s="53" customFormat="1" ht="12.75">
      <c r="A7" s="261">
        <v>1</v>
      </c>
      <c r="B7" s="201">
        <v>2</v>
      </c>
      <c r="C7" s="201">
        <v>3</v>
      </c>
      <c r="D7" s="201">
        <v>4</v>
      </c>
      <c r="E7" s="201">
        <v>4</v>
      </c>
      <c r="F7" s="201">
        <v>5</v>
      </c>
      <c r="G7" s="201">
        <v>5</v>
      </c>
      <c r="H7" s="201">
        <v>6</v>
      </c>
      <c r="I7" s="201">
        <v>7</v>
      </c>
      <c r="J7" s="201">
        <v>8</v>
      </c>
      <c r="K7" s="262">
        <v>9</v>
      </c>
    </row>
    <row r="8" spans="1:11" s="53" customFormat="1" ht="15">
      <c r="A8" s="276" t="s">
        <v>443</v>
      </c>
      <c r="B8" s="277"/>
      <c r="C8" s="278" t="s">
        <v>239</v>
      </c>
      <c r="D8" s="278">
        <f>+D9+D11</f>
        <v>40000</v>
      </c>
      <c r="E8" s="279">
        <f aca="true" t="shared" si="0" ref="E8:E16">+G8+K8</f>
        <v>40000</v>
      </c>
      <c r="F8" s="280">
        <f>+E8/D8*100</f>
        <v>100</v>
      </c>
      <c r="G8" s="279">
        <f>+G9+G11</f>
        <v>40000</v>
      </c>
      <c r="H8" s="279">
        <f>+H9+H11</f>
        <v>0</v>
      </c>
      <c r="I8" s="279">
        <f>+I9+I11</f>
        <v>0</v>
      </c>
      <c r="J8" s="279">
        <f>+J9+J11</f>
        <v>0</v>
      </c>
      <c r="K8" s="281">
        <f>+K9+K11</f>
        <v>0</v>
      </c>
    </row>
    <row r="9" spans="1:11" s="53" customFormat="1" ht="12.75">
      <c r="A9" s="282"/>
      <c r="B9" s="283">
        <v>1008</v>
      </c>
      <c r="C9" s="284" t="s">
        <v>240</v>
      </c>
      <c r="D9" s="284">
        <v>25000</v>
      </c>
      <c r="E9" s="285">
        <f t="shared" si="0"/>
        <v>25000</v>
      </c>
      <c r="F9" s="286">
        <f aca="true" t="shared" si="1" ref="F9:F67">+E9/D9*100</f>
        <v>100</v>
      </c>
      <c r="G9" s="285">
        <f>+G10</f>
        <v>25000</v>
      </c>
      <c r="H9" s="285"/>
      <c r="I9" s="285"/>
      <c r="J9" s="285">
        <f>+J10</f>
        <v>0</v>
      </c>
      <c r="K9" s="287"/>
    </row>
    <row r="10" spans="1:11" s="53" customFormat="1" ht="12.75">
      <c r="A10" s="288"/>
      <c r="B10" s="289"/>
      <c r="C10" s="290" t="s">
        <v>241</v>
      </c>
      <c r="D10" s="290">
        <v>25000</v>
      </c>
      <c r="E10" s="197">
        <f t="shared" si="0"/>
        <v>25000</v>
      </c>
      <c r="F10" s="291">
        <f t="shared" si="1"/>
        <v>100</v>
      </c>
      <c r="G10" s="197">
        <v>25000</v>
      </c>
      <c r="H10" s="197" t="s">
        <v>25</v>
      </c>
      <c r="I10" s="197" t="s">
        <v>25</v>
      </c>
      <c r="J10" s="197"/>
      <c r="K10" s="287"/>
    </row>
    <row r="11" spans="1:11" s="53" customFormat="1" ht="12.75">
      <c r="A11" s="288"/>
      <c r="B11" s="292">
        <v>1030</v>
      </c>
      <c r="C11" s="293" t="s">
        <v>242</v>
      </c>
      <c r="D11" s="293">
        <f>+D12</f>
        <v>15000</v>
      </c>
      <c r="E11" s="275">
        <f t="shared" si="0"/>
        <v>15000</v>
      </c>
      <c r="F11" s="294">
        <f t="shared" si="1"/>
        <v>100</v>
      </c>
      <c r="G11" s="275">
        <f>+G12</f>
        <v>15000</v>
      </c>
      <c r="H11" s="275"/>
      <c r="I11" s="275"/>
      <c r="J11" s="275">
        <f>+J12</f>
        <v>0</v>
      </c>
      <c r="K11" s="287"/>
    </row>
    <row r="12" spans="1:11" s="53" customFormat="1" ht="12.75">
      <c r="A12" s="288"/>
      <c r="B12" s="289"/>
      <c r="C12" s="290" t="s">
        <v>243</v>
      </c>
      <c r="D12" s="290">
        <v>15000</v>
      </c>
      <c r="E12" s="197">
        <f t="shared" si="0"/>
        <v>15000</v>
      </c>
      <c r="F12" s="291">
        <f t="shared" si="1"/>
        <v>100</v>
      </c>
      <c r="G12" s="197">
        <v>15000</v>
      </c>
      <c r="H12" s="197" t="s">
        <v>25</v>
      </c>
      <c r="I12" s="197" t="s">
        <v>25</v>
      </c>
      <c r="J12" s="197"/>
      <c r="K12" s="287"/>
    </row>
    <row r="13" spans="1:11" s="53" customFormat="1" ht="15">
      <c r="A13" s="295">
        <v>600</v>
      </c>
      <c r="B13" s="296"/>
      <c r="C13" s="297" t="s">
        <v>244</v>
      </c>
      <c r="D13" s="297" t="e">
        <f>+D14+D16+D18</f>
        <v>#REF!</v>
      </c>
      <c r="E13" s="298">
        <f t="shared" si="0"/>
        <v>4206000</v>
      </c>
      <c r="F13" s="299" t="e">
        <f t="shared" si="1"/>
        <v>#REF!</v>
      </c>
      <c r="G13" s="300">
        <f>+G14+G16+G18</f>
        <v>2766000</v>
      </c>
      <c r="H13" s="300">
        <f>+H14+H16+H18</f>
        <v>0</v>
      </c>
      <c r="I13" s="300">
        <f>+I14+I16+I18</f>
        <v>200000</v>
      </c>
      <c r="J13" s="300"/>
      <c r="K13" s="301">
        <f>+K14+K16+K18</f>
        <v>1440000</v>
      </c>
    </row>
    <row r="14" spans="1:11" s="53" customFormat="1" ht="12.75">
      <c r="A14" s="282"/>
      <c r="B14" s="283">
        <v>60004</v>
      </c>
      <c r="C14" s="284" t="s">
        <v>246</v>
      </c>
      <c r="D14" s="284">
        <f>+D15</f>
        <v>800000</v>
      </c>
      <c r="E14" s="285">
        <f t="shared" si="0"/>
        <v>866000</v>
      </c>
      <c r="F14" s="286">
        <f t="shared" si="1"/>
        <v>108.25</v>
      </c>
      <c r="G14" s="285">
        <f>+G15</f>
        <v>866000</v>
      </c>
      <c r="H14" s="285"/>
      <c r="I14" s="285"/>
      <c r="J14" s="285"/>
      <c r="K14" s="287"/>
    </row>
    <row r="15" spans="1:11" s="53" customFormat="1" ht="12.75">
      <c r="A15" s="288"/>
      <c r="B15" s="289"/>
      <c r="C15" s="290" t="s">
        <v>245</v>
      </c>
      <c r="D15" s="290">
        <f>673000+127000</f>
        <v>800000</v>
      </c>
      <c r="E15" s="197">
        <f t="shared" si="0"/>
        <v>866000</v>
      </c>
      <c r="F15" s="291">
        <f t="shared" si="1"/>
        <v>108.25</v>
      </c>
      <c r="G15" s="197">
        <v>866000</v>
      </c>
      <c r="H15" s="197"/>
      <c r="I15" s="197"/>
      <c r="J15" s="197"/>
      <c r="K15" s="273"/>
    </row>
    <row r="16" spans="1:11" s="53" customFormat="1" ht="12.75">
      <c r="A16" s="302"/>
      <c r="B16" s="292">
        <v>60014</v>
      </c>
      <c r="C16" s="293" t="s">
        <v>430</v>
      </c>
      <c r="D16" s="293" t="e">
        <f>+#REF!+#REF!+#REF!</f>
        <v>#REF!</v>
      </c>
      <c r="E16" s="275">
        <f t="shared" si="0"/>
        <v>200000</v>
      </c>
      <c r="F16" s="294" t="e">
        <f t="shared" si="1"/>
        <v>#REF!</v>
      </c>
      <c r="G16" s="275">
        <f>SUM(G17:G17)</f>
        <v>200000</v>
      </c>
      <c r="H16" s="275">
        <f>SUM(H17:H17)</f>
        <v>0</v>
      </c>
      <c r="I16" s="275">
        <f>SUM(I17:I17)</f>
        <v>200000</v>
      </c>
      <c r="J16" s="275"/>
      <c r="K16" s="303">
        <f>SUM(K17:K17)</f>
        <v>0</v>
      </c>
    </row>
    <row r="17" spans="1:11" s="53" customFormat="1" ht="12.75">
      <c r="A17" s="288"/>
      <c r="B17" s="289"/>
      <c r="C17" s="290" t="s">
        <v>517</v>
      </c>
      <c r="D17" s="290"/>
      <c r="E17" s="197">
        <f aca="true" t="shared" si="2" ref="E17:E42">+G17+K17</f>
        <v>200000</v>
      </c>
      <c r="F17" s="291">
        <v>0</v>
      </c>
      <c r="G17" s="197">
        <f>400000-200000</f>
        <v>200000</v>
      </c>
      <c r="H17" s="197"/>
      <c r="I17" s="197">
        <f>400000-200000</f>
        <v>200000</v>
      </c>
      <c r="J17" s="197"/>
      <c r="K17" s="273"/>
    </row>
    <row r="18" spans="1:11" s="53" customFormat="1" ht="12.75">
      <c r="A18" s="288"/>
      <c r="B18" s="292">
        <v>60016</v>
      </c>
      <c r="C18" s="293" t="s">
        <v>247</v>
      </c>
      <c r="D18" s="293">
        <f>SUM(D19:D25)</f>
        <v>1460149</v>
      </c>
      <c r="E18" s="275">
        <f t="shared" si="2"/>
        <v>3140000</v>
      </c>
      <c r="F18" s="294">
        <f t="shared" si="1"/>
        <v>215.04654661955732</v>
      </c>
      <c r="G18" s="275">
        <f>SUM(G19:G24)</f>
        <v>1700000</v>
      </c>
      <c r="H18" s="275"/>
      <c r="I18" s="275"/>
      <c r="J18" s="275"/>
      <c r="K18" s="303">
        <f>+K25</f>
        <v>1440000</v>
      </c>
    </row>
    <row r="19" spans="1:11" s="53" customFormat="1" ht="12.75">
      <c r="A19" s="288"/>
      <c r="B19" s="289"/>
      <c r="C19" s="290" t="s">
        <v>249</v>
      </c>
      <c r="D19" s="290">
        <f>250000+10000+50000</f>
        <v>310000</v>
      </c>
      <c r="E19" s="197">
        <f t="shared" si="2"/>
        <v>450000</v>
      </c>
      <c r="F19" s="291">
        <f t="shared" si="1"/>
        <v>145.16129032258064</v>
      </c>
      <c r="G19" s="197">
        <v>450000</v>
      </c>
      <c r="H19" s="197"/>
      <c r="I19" s="197"/>
      <c r="J19" s="197"/>
      <c r="K19" s="273"/>
    </row>
    <row r="20" spans="1:11" s="53" customFormat="1" ht="12.75">
      <c r="A20" s="304"/>
      <c r="B20" s="305"/>
      <c r="C20" s="197" t="s">
        <v>250</v>
      </c>
      <c r="D20" s="197">
        <v>400000</v>
      </c>
      <c r="E20" s="197">
        <f t="shared" si="2"/>
        <v>400000</v>
      </c>
      <c r="F20" s="291">
        <f t="shared" si="1"/>
        <v>100</v>
      </c>
      <c r="G20" s="197">
        <v>400000</v>
      </c>
      <c r="H20" s="197"/>
      <c r="I20" s="197"/>
      <c r="J20" s="197"/>
      <c r="K20" s="273"/>
    </row>
    <row r="21" spans="1:11" s="53" customFormat="1" ht="12.75">
      <c r="A21" s="306"/>
      <c r="B21" s="307"/>
      <c r="C21" s="194" t="s">
        <v>251</v>
      </c>
      <c r="D21" s="194">
        <v>100000</v>
      </c>
      <c r="E21" s="194">
        <f t="shared" si="2"/>
        <v>100000</v>
      </c>
      <c r="F21" s="265">
        <f t="shared" si="1"/>
        <v>100</v>
      </c>
      <c r="G21" s="194">
        <v>100000</v>
      </c>
      <c r="H21" s="194"/>
      <c r="I21" s="194"/>
      <c r="J21" s="194"/>
      <c r="K21" s="267"/>
    </row>
    <row r="22" spans="1:11" s="53" customFormat="1" ht="12.75">
      <c r="A22" s="304"/>
      <c r="B22" s="305"/>
      <c r="C22" s="197" t="s">
        <v>252</v>
      </c>
      <c r="D22" s="197">
        <v>150000</v>
      </c>
      <c r="E22" s="197">
        <f t="shared" si="2"/>
        <v>150000</v>
      </c>
      <c r="F22" s="291">
        <f t="shared" si="1"/>
        <v>100</v>
      </c>
      <c r="G22" s="197">
        <v>150000</v>
      </c>
      <c r="H22" s="197"/>
      <c r="I22" s="197"/>
      <c r="J22" s="197"/>
      <c r="K22" s="273"/>
    </row>
    <row r="23" spans="1:11" s="53" customFormat="1" ht="12.75">
      <c r="A23" s="304"/>
      <c r="B23" s="305"/>
      <c r="C23" s="197" t="s">
        <v>506</v>
      </c>
      <c r="D23" s="197">
        <v>370149</v>
      </c>
      <c r="E23" s="197">
        <f t="shared" si="2"/>
        <v>100000</v>
      </c>
      <c r="F23" s="291">
        <f>+E23/D23*100</f>
        <v>27.016147551391466</v>
      </c>
      <c r="G23" s="197">
        <f>300000-200000</f>
        <v>100000</v>
      </c>
      <c r="H23" s="197"/>
      <c r="I23" s="197"/>
      <c r="J23" s="197"/>
      <c r="K23" s="273"/>
    </row>
    <row r="24" spans="1:11" s="53" customFormat="1" ht="12.75">
      <c r="A24" s="304"/>
      <c r="B24" s="305"/>
      <c r="C24" s="197" t="s">
        <v>505</v>
      </c>
      <c r="D24" s="197"/>
      <c r="E24" s="197">
        <f t="shared" si="2"/>
        <v>500000</v>
      </c>
      <c r="F24" s="291">
        <v>0</v>
      </c>
      <c r="G24" s="197">
        <v>500000</v>
      </c>
      <c r="H24" s="197"/>
      <c r="I24" s="197"/>
      <c r="J24" s="197"/>
      <c r="K24" s="273"/>
    </row>
    <row r="25" spans="1:11" s="53" customFormat="1" ht="12.75">
      <c r="A25" s="304"/>
      <c r="B25" s="305"/>
      <c r="C25" s="275" t="s">
        <v>388</v>
      </c>
      <c r="D25" s="275">
        <f>SUM(D26:D34)</f>
        <v>130000</v>
      </c>
      <c r="E25" s="275">
        <f t="shared" si="2"/>
        <v>1440000</v>
      </c>
      <c r="F25" s="294">
        <f t="shared" si="1"/>
        <v>1107.6923076923076</v>
      </c>
      <c r="G25" s="275"/>
      <c r="H25" s="275"/>
      <c r="I25" s="275"/>
      <c r="J25" s="275"/>
      <c r="K25" s="303">
        <f>SUM(K26:K34)</f>
        <v>1440000</v>
      </c>
    </row>
    <row r="26" spans="1:11" s="53" customFormat="1" ht="12.75">
      <c r="A26" s="304"/>
      <c r="B26" s="305"/>
      <c r="C26" s="308" t="s">
        <v>622</v>
      </c>
      <c r="D26" s="308"/>
      <c r="E26" s="308">
        <f t="shared" si="2"/>
        <v>500000</v>
      </c>
      <c r="F26" s="309">
        <v>0</v>
      </c>
      <c r="G26" s="308"/>
      <c r="H26" s="308"/>
      <c r="I26" s="308"/>
      <c r="J26" s="308"/>
      <c r="K26" s="310">
        <f>1000000-500000</f>
        <v>500000</v>
      </c>
    </row>
    <row r="27" spans="1:11" s="53" customFormat="1" ht="12.75">
      <c r="A27" s="304"/>
      <c r="B27" s="305"/>
      <c r="C27" s="308" t="s">
        <v>508</v>
      </c>
      <c r="D27" s="308"/>
      <c r="E27" s="308">
        <f t="shared" si="2"/>
        <v>30000</v>
      </c>
      <c r="F27" s="309">
        <v>0</v>
      </c>
      <c r="G27" s="308"/>
      <c r="H27" s="308"/>
      <c r="I27" s="308"/>
      <c r="J27" s="308"/>
      <c r="K27" s="310">
        <v>30000</v>
      </c>
    </row>
    <row r="28" spans="1:11" s="53" customFormat="1" ht="12.75">
      <c r="A28" s="304"/>
      <c r="B28" s="305"/>
      <c r="C28" s="308" t="s">
        <v>509</v>
      </c>
      <c r="D28" s="308"/>
      <c r="E28" s="308">
        <f t="shared" si="2"/>
        <v>50000</v>
      </c>
      <c r="F28" s="309">
        <v>0</v>
      </c>
      <c r="G28" s="308"/>
      <c r="H28" s="308"/>
      <c r="I28" s="308"/>
      <c r="J28" s="308"/>
      <c r="K28" s="310">
        <v>50000</v>
      </c>
    </row>
    <row r="29" spans="1:11" s="53" customFormat="1" ht="12.75">
      <c r="A29" s="304"/>
      <c r="B29" s="305"/>
      <c r="C29" s="308" t="s">
        <v>515</v>
      </c>
      <c r="D29" s="197"/>
      <c r="E29" s="308">
        <f>+G29+K29</f>
        <v>60000</v>
      </c>
      <c r="F29" s="291">
        <v>0</v>
      </c>
      <c r="G29" s="308"/>
      <c r="H29" s="308"/>
      <c r="I29" s="308"/>
      <c r="J29" s="308"/>
      <c r="K29" s="310">
        <f>800000-740000</f>
        <v>60000</v>
      </c>
    </row>
    <row r="30" spans="1:11" s="53" customFormat="1" ht="12.75">
      <c r="A30" s="304"/>
      <c r="B30" s="305"/>
      <c r="C30" s="308" t="s">
        <v>651</v>
      </c>
      <c r="D30" s="197"/>
      <c r="E30" s="308">
        <f>+G30+K30</f>
        <v>50000</v>
      </c>
      <c r="F30" s="291">
        <v>0</v>
      </c>
      <c r="G30" s="308"/>
      <c r="H30" s="308"/>
      <c r="I30" s="308"/>
      <c r="J30" s="308"/>
      <c r="K30" s="310">
        <v>50000</v>
      </c>
    </row>
    <row r="31" spans="1:11" s="53" customFormat="1" ht="12.75">
      <c r="A31" s="304"/>
      <c r="B31" s="305"/>
      <c r="C31" s="308" t="s">
        <v>652</v>
      </c>
      <c r="D31" s="197"/>
      <c r="E31" s="308">
        <f>+G31+K31</f>
        <v>50000</v>
      </c>
      <c r="F31" s="291">
        <v>0</v>
      </c>
      <c r="G31" s="308"/>
      <c r="H31" s="308"/>
      <c r="I31" s="308"/>
      <c r="J31" s="308"/>
      <c r="K31" s="310">
        <v>50000</v>
      </c>
    </row>
    <row r="32" spans="1:11" s="53" customFormat="1" ht="12.75">
      <c r="A32" s="304"/>
      <c r="B32" s="305"/>
      <c r="C32" s="308" t="s">
        <v>653</v>
      </c>
      <c r="D32" s="197"/>
      <c r="E32" s="308">
        <f>+G32+K32</f>
        <v>100000</v>
      </c>
      <c r="F32" s="291">
        <v>0</v>
      </c>
      <c r="G32" s="308"/>
      <c r="H32" s="308"/>
      <c r="I32" s="308"/>
      <c r="J32" s="308"/>
      <c r="K32" s="310">
        <v>100000</v>
      </c>
    </row>
    <row r="33" spans="1:11" s="53" customFormat="1" ht="12.75">
      <c r="A33" s="304"/>
      <c r="B33" s="305"/>
      <c r="C33" s="308" t="s">
        <v>444</v>
      </c>
      <c r="D33" s="308">
        <v>30000</v>
      </c>
      <c r="E33" s="308">
        <f t="shared" si="2"/>
        <v>500000</v>
      </c>
      <c r="F33" s="309">
        <f t="shared" si="1"/>
        <v>1666.6666666666667</v>
      </c>
      <c r="G33" s="308"/>
      <c r="H33" s="308"/>
      <c r="I33" s="308"/>
      <c r="J33" s="308"/>
      <c r="K33" s="310">
        <v>500000</v>
      </c>
    </row>
    <row r="34" spans="1:11" s="53" customFormat="1" ht="12.75">
      <c r="A34" s="304"/>
      <c r="B34" s="305"/>
      <c r="C34" s="308" t="s">
        <v>507</v>
      </c>
      <c r="D34" s="308">
        <v>100000</v>
      </c>
      <c r="E34" s="308">
        <f t="shared" si="2"/>
        <v>100000</v>
      </c>
      <c r="F34" s="309">
        <f t="shared" si="1"/>
        <v>100</v>
      </c>
      <c r="G34" s="308"/>
      <c r="H34" s="308"/>
      <c r="I34" s="308"/>
      <c r="J34" s="308"/>
      <c r="K34" s="310">
        <f>500000-400000</f>
        <v>100000</v>
      </c>
    </row>
    <row r="35" spans="1:11" s="53" customFormat="1" ht="15">
      <c r="A35" s="311">
        <v>700</v>
      </c>
      <c r="B35" s="312"/>
      <c r="C35" s="274" t="s">
        <v>254</v>
      </c>
      <c r="D35" s="274">
        <f>+D36+D50+D52</f>
        <v>5454003</v>
      </c>
      <c r="E35" s="274">
        <f t="shared" si="2"/>
        <v>5447203</v>
      </c>
      <c r="F35" s="313">
        <f t="shared" si="1"/>
        <v>99.87532093400023</v>
      </c>
      <c r="G35" s="274">
        <f>+G36+G50+G52</f>
        <v>3175000</v>
      </c>
      <c r="H35" s="274">
        <f>+H36+H50+H52</f>
        <v>0</v>
      </c>
      <c r="I35" s="274">
        <f>+I36+I50+I52</f>
        <v>0</v>
      </c>
      <c r="J35" s="274">
        <f>+J36+J50+J52</f>
        <v>0</v>
      </c>
      <c r="K35" s="314">
        <f>+K36+K50+K52</f>
        <v>2272203</v>
      </c>
    </row>
    <row r="36" spans="1:11" s="53" customFormat="1" ht="12.75">
      <c r="A36" s="304"/>
      <c r="B36" s="315">
        <v>70005</v>
      </c>
      <c r="C36" s="275" t="s">
        <v>256</v>
      </c>
      <c r="D36" s="275">
        <f>SUM(D37:D47)</f>
        <v>965803</v>
      </c>
      <c r="E36" s="275">
        <f t="shared" si="2"/>
        <v>904203</v>
      </c>
      <c r="F36" s="294">
        <f t="shared" si="1"/>
        <v>93.621887693453</v>
      </c>
      <c r="G36" s="275">
        <f>SUM(G37:G49)</f>
        <v>622000</v>
      </c>
      <c r="H36" s="275">
        <f>SUM(H37:H49)</f>
        <v>0</v>
      </c>
      <c r="I36" s="275">
        <f>SUM(I37:I49)</f>
        <v>0</v>
      </c>
      <c r="J36" s="275">
        <f>SUM(J37:J49)</f>
        <v>0</v>
      </c>
      <c r="K36" s="303">
        <f>+K47</f>
        <v>282203</v>
      </c>
    </row>
    <row r="37" spans="1:11" s="53" customFormat="1" ht="12.75">
      <c r="A37" s="304"/>
      <c r="B37" s="305"/>
      <c r="C37" s="197" t="s">
        <v>540</v>
      </c>
      <c r="D37" s="271">
        <v>10000</v>
      </c>
      <c r="E37" s="308">
        <f t="shared" si="2"/>
        <v>10000</v>
      </c>
      <c r="F37" s="309">
        <f t="shared" si="1"/>
        <v>100</v>
      </c>
      <c r="G37" s="197">
        <v>10000</v>
      </c>
      <c r="H37" s="197"/>
      <c r="I37" s="197"/>
      <c r="J37" s="197"/>
      <c r="K37" s="273"/>
    </row>
    <row r="38" spans="1:11" s="53" customFormat="1" ht="12.75">
      <c r="A38" s="316"/>
      <c r="B38" s="317"/>
      <c r="C38" s="318" t="s">
        <v>255</v>
      </c>
      <c r="D38" s="319">
        <v>215000</v>
      </c>
      <c r="E38" s="320">
        <f t="shared" si="2"/>
        <v>200000</v>
      </c>
      <c r="F38" s="321">
        <f t="shared" si="1"/>
        <v>93.02325581395348</v>
      </c>
      <c r="G38" s="318">
        <v>200000</v>
      </c>
      <c r="H38" s="318"/>
      <c r="I38" s="318"/>
      <c r="J38" s="318"/>
      <c r="K38" s="322"/>
    </row>
    <row r="39" spans="1:11" s="53" customFormat="1" ht="12.75">
      <c r="A39" s="304"/>
      <c r="B39" s="305"/>
      <c r="C39" s="197" t="s">
        <v>541</v>
      </c>
      <c r="D39" s="271">
        <f>82000+15000</f>
        <v>97000</v>
      </c>
      <c r="E39" s="308">
        <f t="shared" si="2"/>
        <v>72000</v>
      </c>
      <c r="F39" s="309"/>
      <c r="G39" s="197">
        <v>72000</v>
      </c>
      <c r="H39" s="197"/>
      <c r="I39" s="197"/>
      <c r="J39" s="197"/>
      <c r="K39" s="273"/>
    </row>
    <row r="40" spans="1:11" s="53" customFormat="1" ht="12.75">
      <c r="A40" s="304"/>
      <c r="B40" s="305"/>
      <c r="C40" s="197" t="s">
        <v>257</v>
      </c>
      <c r="D40" s="271">
        <v>20000</v>
      </c>
      <c r="E40" s="308">
        <f t="shared" si="2"/>
        <v>20000</v>
      </c>
      <c r="F40" s="309">
        <f t="shared" si="1"/>
        <v>100</v>
      </c>
      <c r="G40" s="197">
        <v>20000</v>
      </c>
      <c r="H40" s="197"/>
      <c r="I40" s="197"/>
      <c r="J40" s="197"/>
      <c r="K40" s="273"/>
    </row>
    <row r="41" spans="1:11" s="53" customFormat="1" ht="12.75">
      <c r="A41" s="304"/>
      <c r="B41" s="305"/>
      <c r="C41" s="197" t="s">
        <v>258</v>
      </c>
      <c r="D41" s="271">
        <v>100000</v>
      </c>
      <c r="E41" s="308">
        <f t="shared" si="2"/>
        <v>65000</v>
      </c>
      <c r="F41" s="309">
        <f t="shared" si="1"/>
        <v>65</v>
      </c>
      <c r="G41" s="197">
        <v>65000</v>
      </c>
      <c r="H41" s="197"/>
      <c r="I41" s="197"/>
      <c r="J41" s="197"/>
      <c r="K41" s="273"/>
    </row>
    <row r="42" spans="1:11" s="53" customFormat="1" ht="12.75">
      <c r="A42" s="304"/>
      <c r="B42" s="305"/>
      <c r="C42" s="197" t="s">
        <v>259</v>
      </c>
      <c r="D42" s="271">
        <v>45000</v>
      </c>
      <c r="E42" s="308">
        <f t="shared" si="2"/>
        <v>30000</v>
      </c>
      <c r="F42" s="309">
        <f t="shared" si="1"/>
        <v>66.66666666666666</v>
      </c>
      <c r="G42" s="197">
        <v>30000</v>
      </c>
      <c r="H42" s="197"/>
      <c r="I42" s="197"/>
      <c r="J42" s="197"/>
      <c r="K42" s="273"/>
    </row>
    <row r="43" spans="1:11" s="53" customFormat="1" ht="12.75">
      <c r="A43" s="304"/>
      <c r="B43" s="305"/>
      <c r="C43" s="197" t="s">
        <v>260</v>
      </c>
      <c r="D43" s="271">
        <v>100000</v>
      </c>
      <c r="E43" s="308">
        <f aca="true" t="shared" si="3" ref="E43:E59">+G43+K43</f>
        <v>70000</v>
      </c>
      <c r="F43" s="309">
        <f t="shared" si="1"/>
        <v>70</v>
      </c>
      <c r="G43" s="197">
        <v>70000</v>
      </c>
      <c r="H43" s="197"/>
      <c r="I43" s="197"/>
      <c r="J43" s="197"/>
      <c r="K43" s="273"/>
    </row>
    <row r="44" spans="1:11" s="53" customFormat="1" ht="12.75">
      <c r="A44" s="304"/>
      <c r="B44" s="305"/>
      <c r="C44" s="323" t="s">
        <v>261</v>
      </c>
      <c r="D44" s="271">
        <v>20000</v>
      </c>
      <c r="E44" s="308">
        <f t="shared" si="3"/>
        <v>25000</v>
      </c>
      <c r="F44" s="309">
        <f t="shared" si="1"/>
        <v>125</v>
      </c>
      <c r="G44" s="197">
        <v>25000</v>
      </c>
      <c r="H44" s="197"/>
      <c r="I44" s="197"/>
      <c r="J44" s="197"/>
      <c r="K44" s="273"/>
    </row>
    <row r="45" spans="1:11" s="53" customFormat="1" ht="12.75">
      <c r="A45" s="306"/>
      <c r="B45" s="307"/>
      <c r="C45" s="324" t="s">
        <v>262</v>
      </c>
      <c r="D45" s="325">
        <v>37000</v>
      </c>
      <c r="E45" s="308">
        <f t="shared" si="3"/>
        <v>40000</v>
      </c>
      <c r="F45" s="326">
        <f t="shared" si="1"/>
        <v>108.10810810810811</v>
      </c>
      <c r="G45" s="194">
        <v>40000</v>
      </c>
      <c r="H45" s="194"/>
      <c r="I45" s="194"/>
      <c r="J45" s="194"/>
      <c r="K45" s="267"/>
    </row>
    <row r="46" spans="1:11" s="53" customFormat="1" ht="12.75">
      <c r="A46" s="306"/>
      <c r="B46" s="307"/>
      <c r="C46" s="324" t="s">
        <v>263</v>
      </c>
      <c r="D46" s="325">
        <v>59600</v>
      </c>
      <c r="E46" s="308">
        <f t="shared" si="3"/>
        <v>90000</v>
      </c>
      <c r="F46" s="326">
        <f t="shared" si="1"/>
        <v>151.00671140939596</v>
      </c>
      <c r="G46" s="194">
        <v>90000</v>
      </c>
      <c r="H46" s="194"/>
      <c r="I46" s="194"/>
      <c r="J46" s="194"/>
      <c r="K46" s="267"/>
    </row>
    <row r="47" spans="1:11" s="53" customFormat="1" ht="12.75">
      <c r="A47" s="306"/>
      <c r="B47" s="307"/>
      <c r="C47" s="327" t="s">
        <v>388</v>
      </c>
      <c r="D47" s="328">
        <f>+D48+D49</f>
        <v>262203</v>
      </c>
      <c r="E47" s="328">
        <f t="shared" si="3"/>
        <v>282203</v>
      </c>
      <c r="F47" s="329">
        <f t="shared" si="1"/>
        <v>107.62767779163474</v>
      </c>
      <c r="G47" s="194"/>
      <c r="H47" s="194"/>
      <c r="I47" s="194"/>
      <c r="J47" s="194"/>
      <c r="K47" s="330">
        <f>SUM(K48:K49)</f>
        <v>282203</v>
      </c>
    </row>
    <row r="48" spans="1:11" s="53" customFormat="1" ht="12.75">
      <c r="A48" s="306"/>
      <c r="B48" s="307"/>
      <c r="C48" s="331" t="s">
        <v>504</v>
      </c>
      <c r="D48" s="194">
        <v>0</v>
      </c>
      <c r="E48" s="194">
        <f t="shared" si="3"/>
        <v>20000</v>
      </c>
      <c r="F48" s="265">
        <v>0</v>
      </c>
      <c r="G48" s="194"/>
      <c r="H48" s="194"/>
      <c r="I48" s="194"/>
      <c r="J48" s="194"/>
      <c r="K48" s="267">
        <v>20000</v>
      </c>
    </row>
    <row r="49" spans="1:11" s="53" customFormat="1" ht="12.75">
      <c r="A49" s="306"/>
      <c r="B49" s="307"/>
      <c r="C49" s="331" t="s">
        <v>426</v>
      </c>
      <c r="D49" s="196">
        <v>262203</v>
      </c>
      <c r="E49" s="308">
        <f t="shared" si="3"/>
        <v>262203</v>
      </c>
      <c r="F49" s="326">
        <f t="shared" si="1"/>
        <v>100</v>
      </c>
      <c r="G49" s="196"/>
      <c r="H49" s="196"/>
      <c r="I49" s="196"/>
      <c r="J49" s="196"/>
      <c r="K49" s="332">
        <v>262203</v>
      </c>
    </row>
    <row r="50" spans="1:11" s="53" customFormat="1" ht="12.75">
      <c r="A50" s="306"/>
      <c r="B50" s="333">
        <v>70021</v>
      </c>
      <c r="C50" s="327" t="s">
        <v>323</v>
      </c>
      <c r="D50" s="328">
        <f>+D51</f>
        <v>2000000</v>
      </c>
      <c r="E50" s="328">
        <f t="shared" si="3"/>
        <v>800000</v>
      </c>
      <c r="F50" s="329">
        <f t="shared" si="1"/>
        <v>40</v>
      </c>
      <c r="G50" s="328">
        <f>+G51</f>
        <v>0</v>
      </c>
      <c r="H50" s="328"/>
      <c r="I50" s="328"/>
      <c r="J50" s="328"/>
      <c r="K50" s="330">
        <f>+K51</f>
        <v>800000</v>
      </c>
    </row>
    <row r="51" spans="1:11" s="53" customFormat="1" ht="12.75">
      <c r="A51" s="306"/>
      <c r="B51" s="307"/>
      <c r="C51" s="324" t="s">
        <v>324</v>
      </c>
      <c r="D51" s="325">
        <v>2000000</v>
      </c>
      <c r="E51" s="194">
        <f t="shared" si="3"/>
        <v>800000</v>
      </c>
      <c r="F51" s="265">
        <f t="shared" si="1"/>
        <v>40</v>
      </c>
      <c r="G51" s="194"/>
      <c r="H51" s="194"/>
      <c r="I51" s="194"/>
      <c r="J51" s="194"/>
      <c r="K51" s="267">
        <f>1200000-400000</f>
        <v>800000</v>
      </c>
    </row>
    <row r="52" spans="1:11" s="53" customFormat="1" ht="12.75">
      <c r="A52" s="306"/>
      <c r="B52" s="333">
        <v>70095</v>
      </c>
      <c r="C52" s="327" t="s">
        <v>264</v>
      </c>
      <c r="D52" s="328">
        <f>SUM(D53:D60)</f>
        <v>2488200</v>
      </c>
      <c r="E52" s="328">
        <f t="shared" si="3"/>
        <v>3743000</v>
      </c>
      <c r="F52" s="329">
        <f t="shared" si="1"/>
        <v>150.43002974037455</v>
      </c>
      <c r="G52" s="328">
        <f>SUM(G53:G63)</f>
        <v>2553000</v>
      </c>
      <c r="H52" s="328"/>
      <c r="I52" s="328"/>
      <c r="J52" s="328"/>
      <c r="K52" s="330">
        <f>+K60</f>
        <v>1190000</v>
      </c>
    </row>
    <row r="53" spans="1:11" s="53" customFormat="1" ht="12.75">
      <c r="A53" s="306"/>
      <c r="B53" s="307"/>
      <c r="C53" s="324" t="s">
        <v>468</v>
      </c>
      <c r="D53" s="325">
        <f>67000+30000</f>
        <v>97000</v>
      </c>
      <c r="E53" s="308">
        <f t="shared" si="3"/>
        <v>85000</v>
      </c>
      <c r="F53" s="326">
        <f t="shared" si="1"/>
        <v>87.62886597938144</v>
      </c>
      <c r="G53" s="194">
        <f>45000+40000</f>
        <v>85000</v>
      </c>
      <c r="H53" s="194"/>
      <c r="I53" s="194"/>
      <c r="J53" s="194"/>
      <c r="K53" s="267"/>
    </row>
    <row r="54" spans="1:11" s="53" customFormat="1" ht="12.75">
      <c r="A54" s="306"/>
      <c r="B54" s="307"/>
      <c r="C54" s="324" t="s">
        <v>265</v>
      </c>
      <c r="D54" s="325">
        <v>60000</v>
      </c>
      <c r="E54" s="196">
        <f t="shared" si="3"/>
        <v>168000</v>
      </c>
      <c r="F54" s="326">
        <f t="shared" si="1"/>
        <v>280</v>
      </c>
      <c r="G54" s="325">
        <v>168000</v>
      </c>
      <c r="H54" s="194"/>
      <c r="I54" s="194"/>
      <c r="J54" s="194"/>
      <c r="K54" s="267"/>
    </row>
    <row r="55" spans="1:11" s="53" customFormat="1" ht="12.75">
      <c r="A55" s="304"/>
      <c r="B55" s="305"/>
      <c r="C55" s="323" t="s">
        <v>266</v>
      </c>
      <c r="D55" s="271">
        <v>1753200</v>
      </c>
      <c r="E55" s="308">
        <f t="shared" si="3"/>
        <v>1850000</v>
      </c>
      <c r="F55" s="309">
        <f t="shared" si="1"/>
        <v>105.52133242071639</v>
      </c>
      <c r="G55" s="197">
        <v>1850000</v>
      </c>
      <c r="H55" s="197"/>
      <c r="I55" s="197"/>
      <c r="J55" s="197"/>
      <c r="K55" s="273"/>
    </row>
    <row r="56" spans="1:11" s="53" customFormat="1" ht="12.75">
      <c r="A56" s="306"/>
      <c r="B56" s="307"/>
      <c r="C56" s="324" t="s">
        <v>461</v>
      </c>
      <c r="D56" s="325">
        <v>350000</v>
      </c>
      <c r="E56" s="308">
        <f t="shared" si="3"/>
        <v>200000</v>
      </c>
      <c r="F56" s="326">
        <f t="shared" si="1"/>
        <v>57.14285714285714</v>
      </c>
      <c r="G56" s="325">
        <v>200000</v>
      </c>
      <c r="H56" s="194"/>
      <c r="I56" s="194"/>
      <c r="J56" s="194"/>
      <c r="K56" s="267"/>
    </row>
    <row r="57" spans="1:11" s="53" customFormat="1" ht="12.75">
      <c r="A57" s="306"/>
      <c r="B57" s="307"/>
      <c r="C57" s="324" t="s">
        <v>267</v>
      </c>
      <c r="D57" s="325">
        <v>40000</v>
      </c>
      <c r="E57" s="308">
        <f t="shared" si="3"/>
        <v>40000</v>
      </c>
      <c r="F57" s="326">
        <f t="shared" si="1"/>
        <v>100</v>
      </c>
      <c r="G57" s="194">
        <v>40000</v>
      </c>
      <c r="H57" s="194"/>
      <c r="I57" s="194"/>
      <c r="J57" s="194"/>
      <c r="K57" s="267"/>
    </row>
    <row r="58" spans="1:11" s="53" customFormat="1" ht="12.75">
      <c r="A58" s="306"/>
      <c r="B58" s="307"/>
      <c r="C58" s="324" t="s">
        <v>271</v>
      </c>
      <c r="D58" s="325">
        <v>50000</v>
      </c>
      <c r="E58" s="308">
        <f t="shared" si="3"/>
        <v>70000</v>
      </c>
      <c r="F58" s="326">
        <f t="shared" si="1"/>
        <v>140</v>
      </c>
      <c r="G58" s="194">
        <v>70000</v>
      </c>
      <c r="H58" s="194"/>
      <c r="I58" s="194"/>
      <c r="J58" s="194"/>
      <c r="K58" s="267"/>
    </row>
    <row r="59" spans="1:11" s="53" customFormat="1" ht="12.75">
      <c r="A59" s="306"/>
      <c r="B59" s="307"/>
      <c r="C59" s="194" t="s">
        <v>268</v>
      </c>
      <c r="D59" s="325">
        <v>130000</v>
      </c>
      <c r="E59" s="308">
        <f t="shared" si="3"/>
        <v>140000</v>
      </c>
      <c r="F59" s="326">
        <f t="shared" si="1"/>
        <v>107.6923076923077</v>
      </c>
      <c r="G59" s="194">
        <v>140000</v>
      </c>
      <c r="H59" s="194"/>
      <c r="I59" s="194"/>
      <c r="J59" s="194"/>
      <c r="K59" s="267"/>
    </row>
    <row r="60" spans="1:11" s="53" customFormat="1" ht="12.75">
      <c r="A60" s="306"/>
      <c r="B60" s="307"/>
      <c r="C60" s="328" t="s">
        <v>269</v>
      </c>
      <c r="D60" s="328">
        <f>SUM(D61:D63)</f>
        <v>8000</v>
      </c>
      <c r="E60" s="328">
        <f>+K60</f>
        <v>1190000</v>
      </c>
      <c r="F60" s="329">
        <f t="shared" si="1"/>
        <v>14875</v>
      </c>
      <c r="G60" s="194"/>
      <c r="H60" s="194"/>
      <c r="I60" s="194"/>
      <c r="J60" s="194"/>
      <c r="K60" s="330">
        <f>SUM(K61:K63)</f>
        <v>1190000</v>
      </c>
    </row>
    <row r="61" spans="1:11" s="53" customFormat="1" ht="12.75">
      <c r="A61" s="306"/>
      <c r="B61" s="307"/>
      <c r="C61" s="196" t="s">
        <v>533</v>
      </c>
      <c r="D61" s="196">
        <v>8000</v>
      </c>
      <c r="E61" s="196">
        <f aca="true" t="shared" si="4" ref="E61:E85">+G61+K61</f>
        <v>110000</v>
      </c>
      <c r="F61" s="265">
        <f t="shared" si="1"/>
        <v>1375</v>
      </c>
      <c r="G61" s="194"/>
      <c r="H61" s="194"/>
      <c r="I61" s="194"/>
      <c r="J61" s="194"/>
      <c r="K61" s="267">
        <f>150000-40000</f>
        <v>110000</v>
      </c>
    </row>
    <row r="62" spans="1:11" s="53" customFormat="1" ht="12.75">
      <c r="A62" s="306"/>
      <c r="B62" s="307"/>
      <c r="C62" s="196" t="s">
        <v>548</v>
      </c>
      <c r="D62" s="196"/>
      <c r="E62" s="196">
        <f t="shared" si="4"/>
        <v>80000</v>
      </c>
      <c r="F62" s="265">
        <v>0</v>
      </c>
      <c r="G62" s="194"/>
      <c r="H62" s="194"/>
      <c r="I62" s="194"/>
      <c r="J62" s="194"/>
      <c r="K62" s="267">
        <f>50000+30000</f>
        <v>80000</v>
      </c>
    </row>
    <row r="63" spans="1:11" s="53" customFormat="1" ht="12.75">
      <c r="A63" s="306"/>
      <c r="B63" s="307"/>
      <c r="C63" s="196" t="s">
        <v>270</v>
      </c>
      <c r="D63" s="334">
        <v>0</v>
      </c>
      <c r="E63" s="196">
        <f t="shared" si="4"/>
        <v>1000000</v>
      </c>
      <c r="F63" s="326">
        <v>0</v>
      </c>
      <c r="G63" s="196"/>
      <c r="H63" s="196"/>
      <c r="I63" s="196"/>
      <c r="J63" s="196"/>
      <c r="K63" s="332">
        <v>1000000</v>
      </c>
    </row>
    <row r="64" spans="1:11" s="53" customFormat="1" ht="15">
      <c r="A64" s="311">
        <v>750</v>
      </c>
      <c r="B64" s="312"/>
      <c r="C64" s="274" t="s">
        <v>272</v>
      </c>
      <c r="D64" s="274">
        <f>+D65+D68+D73</f>
        <v>5616606</v>
      </c>
      <c r="E64" s="274">
        <f t="shared" si="4"/>
        <v>6031896</v>
      </c>
      <c r="F64" s="313">
        <f t="shared" si="1"/>
        <v>107.39396710397702</v>
      </c>
      <c r="G64" s="274">
        <f>+G65+G68+G73</f>
        <v>5881896</v>
      </c>
      <c r="H64" s="274">
        <f>+H65+H68+H73</f>
        <v>3800000</v>
      </c>
      <c r="I64" s="274">
        <f>+I65+I68+I73</f>
        <v>0</v>
      </c>
      <c r="J64" s="274">
        <f>+J65+J68+J73</f>
        <v>0</v>
      </c>
      <c r="K64" s="335">
        <f>+K65+K68+K73</f>
        <v>150000</v>
      </c>
    </row>
    <row r="65" spans="1:13" s="53" customFormat="1" ht="12.75">
      <c r="A65" s="336"/>
      <c r="B65" s="315">
        <v>75022</v>
      </c>
      <c r="C65" s="275" t="s">
        <v>519</v>
      </c>
      <c r="D65" s="275">
        <f>SUM(D66:D67)</f>
        <v>256000</v>
      </c>
      <c r="E65" s="275">
        <f t="shared" si="4"/>
        <v>286000</v>
      </c>
      <c r="F65" s="294">
        <f t="shared" si="1"/>
        <v>111.71875</v>
      </c>
      <c r="G65" s="275">
        <f>+G66+G67</f>
        <v>286000</v>
      </c>
      <c r="H65" s="275">
        <f>+H66+H67</f>
        <v>0</v>
      </c>
      <c r="I65" s="275"/>
      <c r="J65" s="275"/>
      <c r="K65" s="303"/>
      <c r="L65" s="53">
        <v>2008</v>
      </c>
      <c r="M65" s="53">
        <v>2009</v>
      </c>
    </row>
    <row r="66" spans="1:13" s="53" customFormat="1" ht="12.75">
      <c r="A66" s="304"/>
      <c r="B66" s="305" t="s">
        <v>25</v>
      </c>
      <c r="C66" s="197" t="s">
        <v>273</v>
      </c>
      <c r="D66" s="197">
        <v>240000</v>
      </c>
      <c r="E66" s="197">
        <f t="shared" si="4"/>
        <v>270000</v>
      </c>
      <c r="F66" s="291">
        <f t="shared" si="1"/>
        <v>112.5</v>
      </c>
      <c r="G66" s="197">
        <v>270000</v>
      </c>
      <c r="H66" s="197"/>
      <c r="I66" s="197"/>
      <c r="J66" s="197"/>
      <c r="K66" s="273"/>
      <c r="L66" s="191">
        <v>1126</v>
      </c>
      <c r="M66" s="53">
        <v>1276</v>
      </c>
    </row>
    <row r="67" spans="1:11" s="53" customFormat="1" ht="12.75">
      <c r="A67" s="304"/>
      <c r="B67" s="305"/>
      <c r="C67" s="197" t="s">
        <v>274</v>
      </c>
      <c r="D67" s="197">
        <v>16000</v>
      </c>
      <c r="E67" s="197">
        <f t="shared" si="4"/>
        <v>16000</v>
      </c>
      <c r="F67" s="291">
        <f t="shared" si="1"/>
        <v>100</v>
      </c>
      <c r="G67" s="197">
        <v>16000</v>
      </c>
      <c r="H67" s="197"/>
      <c r="I67" s="197"/>
      <c r="J67" s="197"/>
      <c r="K67" s="273"/>
    </row>
    <row r="68" spans="1:12" s="53" customFormat="1" ht="12.75">
      <c r="A68" s="306"/>
      <c r="B68" s="333">
        <v>75023</v>
      </c>
      <c r="C68" s="328" t="s">
        <v>275</v>
      </c>
      <c r="D68" s="328">
        <f>+D69+D70</f>
        <v>5033099</v>
      </c>
      <c r="E68" s="328">
        <f t="shared" si="4"/>
        <v>5526017</v>
      </c>
      <c r="F68" s="329">
        <f aca="true" t="shared" si="5" ref="F68:F138">+E68/D68*100</f>
        <v>109.7935287980626</v>
      </c>
      <c r="G68" s="328">
        <f>+G69</f>
        <v>5376017</v>
      </c>
      <c r="H68" s="328">
        <f>+H69</f>
        <v>3775000</v>
      </c>
      <c r="I68" s="328"/>
      <c r="J68" s="328"/>
      <c r="K68" s="330">
        <f>+K70</f>
        <v>150000</v>
      </c>
      <c r="L68" s="191" t="e">
        <f>+E68-H68-#REF!</f>
        <v>#REF!</v>
      </c>
    </row>
    <row r="69" spans="1:12" s="53" customFormat="1" ht="12.75">
      <c r="A69" s="306"/>
      <c r="B69" s="307"/>
      <c r="C69" s="194" t="s">
        <v>276</v>
      </c>
      <c r="D69" s="194">
        <f>4972000-26000+11099</f>
        <v>4957099</v>
      </c>
      <c r="E69" s="194">
        <f t="shared" si="4"/>
        <v>5376017</v>
      </c>
      <c r="F69" s="265">
        <f t="shared" si="5"/>
        <v>108.45087015611348</v>
      </c>
      <c r="G69" s="194">
        <f>+H69+1500000+100000+1017</f>
        <v>5376017</v>
      </c>
      <c r="H69" s="194">
        <f>2860000+200000+490000+75000+50000+100000</f>
        <v>3775000</v>
      </c>
      <c r="I69" s="194"/>
      <c r="J69" s="194"/>
      <c r="K69" s="267"/>
      <c r="L69" s="53">
        <f>2419+160+40</f>
        <v>2619</v>
      </c>
    </row>
    <row r="70" spans="1:12" s="53" customFormat="1" ht="12.75">
      <c r="A70" s="306"/>
      <c r="B70" s="307"/>
      <c r="C70" s="328" t="s">
        <v>388</v>
      </c>
      <c r="D70" s="328">
        <f>+D71+D72</f>
        <v>76000</v>
      </c>
      <c r="E70" s="328">
        <f t="shared" si="4"/>
        <v>150000</v>
      </c>
      <c r="F70" s="265">
        <f t="shared" si="5"/>
        <v>197.36842105263156</v>
      </c>
      <c r="G70" s="194"/>
      <c r="H70" s="194"/>
      <c r="I70" s="194"/>
      <c r="J70" s="194"/>
      <c r="K70" s="330">
        <f>SUM(K71:K72)</f>
        <v>150000</v>
      </c>
      <c r="L70" s="53">
        <f>4602-170</f>
        <v>4432</v>
      </c>
    </row>
    <row r="71" spans="1:12" s="53" customFormat="1" ht="12.75">
      <c r="A71" s="304"/>
      <c r="B71" s="305"/>
      <c r="C71" s="308" t="s">
        <v>277</v>
      </c>
      <c r="D71" s="308">
        <v>50000</v>
      </c>
      <c r="E71" s="197">
        <f t="shared" si="4"/>
        <v>50000</v>
      </c>
      <c r="F71" s="291">
        <f t="shared" si="5"/>
        <v>100</v>
      </c>
      <c r="G71" s="308"/>
      <c r="H71" s="308" t="s">
        <v>25</v>
      </c>
      <c r="I71" s="308"/>
      <c r="J71" s="308"/>
      <c r="K71" s="310">
        <v>50000</v>
      </c>
      <c r="L71" s="53">
        <f>+L70-L69</f>
        <v>1813</v>
      </c>
    </row>
    <row r="72" spans="1:12" s="53" customFormat="1" ht="12.75">
      <c r="A72" s="306"/>
      <c r="B72" s="307"/>
      <c r="C72" s="196" t="s">
        <v>497</v>
      </c>
      <c r="D72" s="196">
        <v>26000</v>
      </c>
      <c r="E72" s="196">
        <f t="shared" si="4"/>
        <v>100000</v>
      </c>
      <c r="F72" s="326">
        <f t="shared" si="5"/>
        <v>384.61538461538464</v>
      </c>
      <c r="G72" s="196"/>
      <c r="H72" s="196"/>
      <c r="I72" s="196"/>
      <c r="J72" s="196"/>
      <c r="K72" s="332">
        <v>100000</v>
      </c>
      <c r="L72" s="53">
        <f>50+550+560+35+50+55+45</f>
        <v>1345</v>
      </c>
    </row>
    <row r="73" spans="1:12" s="53" customFormat="1" ht="12.75">
      <c r="A73" s="306"/>
      <c r="B73" s="333">
        <v>75075</v>
      </c>
      <c r="C73" s="328" t="s">
        <v>278</v>
      </c>
      <c r="D73" s="328">
        <f>+D74</f>
        <v>327507</v>
      </c>
      <c r="E73" s="328">
        <f t="shared" si="4"/>
        <v>219879</v>
      </c>
      <c r="F73" s="329">
        <f t="shared" si="5"/>
        <v>67.13719096080389</v>
      </c>
      <c r="G73" s="328">
        <f>+G74</f>
        <v>219879</v>
      </c>
      <c r="H73" s="328">
        <f>+H74</f>
        <v>25000</v>
      </c>
      <c r="I73" s="328">
        <f>+I74</f>
        <v>0</v>
      </c>
      <c r="J73" s="328">
        <f>+J74</f>
        <v>0</v>
      </c>
      <c r="K73" s="330"/>
      <c r="L73" s="198" t="s">
        <v>443</v>
      </c>
    </row>
    <row r="74" spans="1:11" s="53" customFormat="1" ht="12.75">
      <c r="A74" s="306"/>
      <c r="B74" s="307"/>
      <c r="C74" s="194" t="s">
        <v>279</v>
      </c>
      <c r="D74" s="194">
        <v>327507</v>
      </c>
      <c r="E74" s="194">
        <f t="shared" si="4"/>
        <v>219879</v>
      </c>
      <c r="F74" s="265">
        <f t="shared" si="5"/>
        <v>67.13719096080389</v>
      </c>
      <c r="G74" s="194">
        <f>205000+8000-8000+14879</f>
        <v>219879</v>
      </c>
      <c r="H74" s="194">
        <v>25000</v>
      </c>
      <c r="I74" s="194"/>
      <c r="J74" s="194"/>
      <c r="K74" s="267"/>
    </row>
    <row r="75" spans="1:11" s="53" customFormat="1" ht="15">
      <c r="A75" s="337">
        <v>754</v>
      </c>
      <c r="B75" s="338"/>
      <c r="C75" s="300" t="s">
        <v>313</v>
      </c>
      <c r="D75" s="300" t="e">
        <f>+D76+D78+D79+D83</f>
        <v>#REF!</v>
      </c>
      <c r="E75" s="300">
        <f t="shared" si="4"/>
        <v>443000</v>
      </c>
      <c r="F75" s="299" t="e">
        <f t="shared" si="5"/>
        <v>#REF!</v>
      </c>
      <c r="G75" s="300">
        <f>+G76+G78+G79+G83</f>
        <v>243000</v>
      </c>
      <c r="H75" s="300">
        <f>+H76+H79+H83</f>
        <v>34000</v>
      </c>
      <c r="I75" s="300">
        <f>+I76+I79+I83</f>
        <v>50000</v>
      </c>
      <c r="J75" s="300">
        <f>+J76+J79+J83</f>
        <v>0</v>
      </c>
      <c r="K75" s="339">
        <f>+K76+K79+K83</f>
        <v>200000</v>
      </c>
    </row>
    <row r="76" spans="1:11" s="53" customFormat="1" ht="12.75">
      <c r="A76" s="340"/>
      <c r="B76" s="341">
        <v>75404</v>
      </c>
      <c r="C76" s="193" t="s">
        <v>314</v>
      </c>
      <c r="D76" s="193">
        <f>+D77</f>
        <v>71500</v>
      </c>
      <c r="E76" s="193">
        <f t="shared" si="4"/>
        <v>50000</v>
      </c>
      <c r="F76" s="342">
        <f t="shared" si="5"/>
        <v>69.93006993006993</v>
      </c>
      <c r="G76" s="193">
        <f>+G77</f>
        <v>50000</v>
      </c>
      <c r="H76" s="193"/>
      <c r="I76" s="193">
        <f>+I77</f>
        <v>50000</v>
      </c>
      <c r="J76" s="193"/>
      <c r="K76" s="343"/>
    </row>
    <row r="77" spans="1:11" s="53" customFormat="1" ht="12.75">
      <c r="A77" s="306"/>
      <c r="B77" s="307"/>
      <c r="C77" s="194" t="s">
        <v>315</v>
      </c>
      <c r="D77" s="194">
        <v>71500</v>
      </c>
      <c r="E77" s="194">
        <f t="shared" si="4"/>
        <v>50000</v>
      </c>
      <c r="F77" s="265">
        <f t="shared" si="5"/>
        <v>69.93006993006993</v>
      </c>
      <c r="G77" s="194">
        <v>50000</v>
      </c>
      <c r="H77" s="194"/>
      <c r="I77" s="194">
        <f>+G77</f>
        <v>50000</v>
      </c>
      <c r="J77" s="194"/>
      <c r="K77" s="267"/>
    </row>
    <row r="78" spans="1:11" s="53" customFormat="1" ht="12.75">
      <c r="A78" s="306"/>
      <c r="B78" s="333">
        <v>75405</v>
      </c>
      <c r="C78" s="328" t="s">
        <v>463</v>
      </c>
      <c r="D78" s="328">
        <v>8000</v>
      </c>
      <c r="E78" s="328">
        <f t="shared" si="4"/>
        <v>0</v>
      </c>
      <c r="F78" s="329">
        <f>+E78/D78*100</f>
        <v>0</v>
      </c>
      <c r="G78" s="328">
        <v>0</v>
      </c>
      <c r="H78" s="328"/>
      <c r="I78" s="328"/>
      <c r="J78" s="328"/>
      <c r="K78" s="330"/>
    </row>
    <row r="79" spans="1:11" s="53" customFormat="1" ht="12.75">
      <c r="A79" s="344"/>
      <c r="B79" s="333">
        <v>75412</v>
      </c>
      <c r="C79" s="328" t="s">
        <v>316</v>
      </c>
      <c r="D79" s="328" t="e">
        <f>+D80+#REF!</f>
        <v>#REF!</v>
      </c>
      <c r="E79" s="328">
        <f t="shared" si="4"/>
        <v>388000</v>
      </c>
      <c r="F79" s="329" t="e">
        <f t="shared" si="5"/>
        <v>#REF!</v>
      </c>
      <c r="G79" s="328">
        <f>+G80</f>
        <v>188000</v>
      </c>
      <c r="H79" s="328">
        <f>+H80</f>
        <v>34000</v>
      </c>
      <c r="I79" s="328">
        <f>+I80</f>
        <v>0</v>
      </c>
      <c r="J79" s="328">
        <f>+J80</f>
        <v>0</v>
      </c>
      <c r="K79" s="330">
        <f>SUM(K80:K81)</f>
        <v>200000</v>
      </c>
    </row>
    <row r="80" spans="1:11" s="53" customFormat="1" ht="12.75">
      <c r="A80" s="306"/>
      <c r="B80" s="307"/>
      <c r="C80" s="194" t="s">
        <v>431</v>
      </c>
      <c r="D80" s="194">
        <v>166928</v>
      </c>
      <c r="E80" s="194">
        <f t="shared" si="4"/>
        <v>188000</v>
      </c>
      <c r="F80" s="265">
        <f t="shared" si="5"/>
        <v>112.62340649861018</v>
      </c>
      <c r="G80" s="194">
        <f>200000-12000</f>
        <v>188000</v>
      </c>
      <c r="H80" s="194">
        <v>34000</v>
      </c>
      <c r="I80" s="194"/>
      <c r="J80" s="194"/>
      <c r="K80" s="267">
        <v>0</v>
      </c>
    </row>
    <row r="81" spans="1:11" s="53" customFormat="1" ht="12.75">
      <c r="A81" s="306"/>
      <c r="B81" s="307"/>
      <c r="C81" s="345" t="s">
        <v>388</v>
      </c>
      <c r="D81" s="194"/>
      <c r="E81" s="328">
        <f t="shared" si="4"/>
        <v>200000</v>
      </c>
      <c r="F81" s="265"/>
      <c r="G81" s="194"/>
      <c r="H81" s="194"/>
      <c r="I81" s="194"/>
      <c r="J81" s="194"/>
      <c r="K81" s="267">
        <f>+K82</f>
        <v>200000</v>
      </c>
    </row>
    <row r="82" spans="1:11" s="53" customFormat="1" ht="12.75">
      <c r="A82" s="306"/>
      <c r="B82" s="307"/>
      <c r="C82" s="194" t="s">
        <v>514</v>
      </c>
      <c r="D82" s="194"/>
      <c r="E82" s="194">
        <f t="shared" si="4"/>
        <v>200000</v>
      </c>
      <c r="F82" s="265"/>
      <c r="G82" s="194"/>
      <c r="H82" s="194"/>
      <c r="I82" s="194"/>
      <c r="J82" s="194"/>
      <c r="K82" s="267">
        <v>200000</v>
      </c>
    </row>
    <row r="83" spans="1:11" s="53" customFormat="1" ht="12.75">
      <c r="A83" s="344"/>
      <c r="B83" s="333">
        <v>75414</v>
      </c>
      <c r="C83" s="328" t="s">
        <v>317</v>
      </c>
      <c r="D83" s="328">
        <f>+D84</f>
        <v>5000</v>
      </c>
      <c r="E83" s="328">
        <f t="shared" si="4"/>
        <v>5000</v>
      </c>
      <c r="F83" s="329">
        <f t="shared" si="5"/>
        <v>100</v>
      </c>
      <c r="G83" s="328">
        <f>+G84</f>
        <v>5000</v>
      </c>
      <c r="H83" s="328"/>
      <c r="I83" s="328"/>
      <c r="J83" s="328"/>
      <c r="K83" s="330"/>
    </row>
    <row r="84" spans="1:11" s="53" customFormat="1" ht="12.75">
      <c r="A84" s="306"/>
      <c r="B84" s="307"/>
      <c r="C84" s="194" t="s">
        <v>525</v>
      </c>
      <c r="D84" s="194">
        <v>5000</v>
      </c>
      <c r="E84" s="194">
        <f t="shared" si="4"/>
        <v>5000</v>
      </c>
      <c r="F84" s="265">
        <f t="shared" si="5"/>
        <v>100</v>
      </c>
      <c r="G84" s="194">
        <v>5000</v>
      </c>
      <c r="H84" s="194"/>
      <c r="I84" s="194"/>
      <c r="J84" s="194"/>
      <c r="K84" s="267"/>
    </row>
    <row r="85" spans="1:15" s="53" customFormat="1" ht="30" customHeight="1">
      <c r="A85" s="346">
        <v>756</v>
      </c>
      <c r="B85" s="347"/>
      <c r="C85" s="274" t="s">
        <v>526</v>
      </c>
      <c r="D85" s="348">
        <f>+D86</f>
        <v>89000</v>
      </c>
      <c r="E85" s="274">
        <f t="shared" si="4"/>
        <v>90000</v>
      </c>
      <c r="F85" s="313">
        <f t="shared" si="5"/>
        <v>101.12359550561798</v>
      </c>
      <c r="G85" s="274">
        <f>+G86</f>
        <v>90000</v>
      </c>
      <c r="H85" s="274">
        <f>+H86</f>
        <v>0</v>
      </c>
      <c r="I85" s="274"/>
      <c r="J85" s="349"/>
      <c r="K85" s="335"/>
      <c r="L85" s="566"/>
      <c r="M85" s="269"/>
      <c r="N85" s="269"/>
      <c r="O85" s="269"/>
    </row>
    <row r="86" spans="1:11" s="53" customFormat="1" ht="12.75">
      <c r="A86" s="353"/>
      <c r="B86" s="283">
        <v>75647</v>
      </c>
      <c r="C86" s="284" t="s">
        <v>280</v>
      </c>
      <c r="D86" s="284">
        <f>+D87</f>
        <v>89000</v>
      </c>
      <c r="E86" s="285">
        <f aca="true" t="shared" si="6" ref="E86:E114">+G86+K86</f>
        <v>90000</v>
      </c>
      <c r="F86" s="286">
        <f t="shared" si="5"/>
        <v>101.12359550561798</v>
      </c>
      <c r="G86" s="285">
        <f>+G87</f>
        <v>90000</v>
      </c>
      <c r="H86" s="285">
        <f>+H87</f>
        <v>0</v>
      </c>
      <c r="I86" s="285"/>
      <c r="J86" s="285"/>
      <c r="K86" s="287"/>
    </row>
    <row r="87" spans="1:11" s="53" customFormat="1" ht="12.75">
      <c r="A87" s="354"/>
      <c r="B87" s="355"/>
      <c r="C87" s="356" t="s">
        <v>281</v>
      </c>
      <c r="D87" s="356">
        <v>89000</v>
      </c>
      <c r="E87" s="255">
        <f t="shared" si="6"/>
        <v>90000</v>
      </c>
      <c r="F87" s="357">
        <f t="shared" si="5"/>
        <v>101.12359550561798</v>
      </c>
      <c r="G87" s="255">
        <v>90000</v>
      </c>
      <c r="H87" s="255"/>
      <c r="I87" s="255"/>
      <c r="J87" s="255"/>
      <c r="K87" s="256"/>
    </row>
    <row r="88" spans="1:11" s="53" customFormat="1" ht="15">
      <c r="A88" s="295">
        <v>757</v>
      </c>
      <c r="B88" s="296"/>
      <c r="C88" s="297" t="s">
        <v>282</v>
      </c>
      <c r="D88" s="297">
        <f>+D89</f>
        <v>442000</v>
      </c>
      <c r="E88" s="300">
        <f t="shared" si="6"/>
        <v>978000</v>
      </c>
      <c r="F88" s="299">
        <f t="shared" si="5"/>
        <v>221.26696832579188</v>
      </c>
      <c r="G88" s="300">
        <f>+G89</f>
        <v>978000</v>
      </c>
      <c r="H88" s="300">
        <f>+H89</f>
        <v>0</v>
      </c>
      <c r="I88" s="300">
        <f>+I89</f>
        <v>0</v>
      </c>
      <c r="J88" s="300">
        <f>+J89</f>
        <v>978000</v>
      </c>
      <c r="K88" s="339"/>
    </row>
    <row r="89" spans="1:11" s="53" customFormat="1" ht="12.75">
      <c r="A89" s="358"/>
      <c r="B89" s="283">
        <v>75702</v>
      </c>
      <c r="C89" s="284" t="s">
        <v>283</v>
      </c>
      <c r="D89" s="254">
        <f>SUM(D90:D96)</f>
        <v>442000</v>
      </c>
      <c r="E89" s="193">
        <f t="shared" si="6"/>
        <v>978000</v>
      </c>
      <c r="F89" s="342">
        <f t="shared" si="5"/>
        <v>221.26696832579188</v>
      </c>
      <c r="G89" s="193">
        <f>SUM(G90:G96)</f>
        <v>978000</v>
      </c>
      <c r="H89" s="193"/>
      <c r="I89" s="193"/>
      <c r="J89" s="193">
        <f>SUM(J90:J96)</f>
        <v>978000</v>
      </c>
      <c r="K89" s="343"/>
    </row>
    <row r="90" spans="1:11" s="53" customFormat="1" ht="12.75">
      <c r="A90" s="354"/>
      <c r="B90" s="359"/>
      <c r="C90" s="360" t="s">
        <v>627</v>
      </c>
      <c r="D90" s="360">
        <v>72000</v>
      </c>
      <c r="E90" s="194">
        <f t="shared" si="6"/>
        <v>48000</v>
      </c>
      <c r="F90" s="265">
        <f t="shared" si="5"/>
        <v>66.66666666666666</v>
      </c>
      <c r="G90" s="194">
        <f aca="true" t="shared" si="7" ref="G90:G96">+J90</f>
        <v>48000</v>
      </c>
      <c r="H90" s="194"/>
      <c r="I90" s="194"/>
      <c r="J90" s="194">
        <f>1200000*0.04</f>
        <v>48000</v>
      </c>
      <c r="K90" s="267"/>
    </row>
    <row r="91" spans="1:11" s="53" customFormat="1" ht="12.75">
      <c r="A91" s="354"/>
      <c r="B91" s="359"/>
      <c r="C91" s="360" t="s">
        <v>628</v>
      </c>
      <c r="D91" s="360">
        <v>0</v>
      </c>
      <c r="E91" s="194">
        <f t="shared" si="6"/>
        <v>325000</v>
      </c>
      <c r="F91" s="265">
        <v>0</v>
      </c>
      <c r="G91" s="194">
        <f t="shared" si="7"/>
        <v>325000</v>
      </c>
      <c r="H91" s="194"/>
      <c r="I91" s="194"/>
      <c r="J91" s="194">
        <f>5000000*0.065</f>
        <v>325000</v>
      </c>
      <c r="K91" s="267"/>
    </row>
    <row r="92" spans="1:11" s="53" customFormat="1" ht="12.75">
      <c r="A92" s="354"/>
      <c r="B92" s="359"/>
      <c r="C92" s="360" t="s">
        <v>452</v>
      </c>
      <c r="D92" s="360"/>
      <c r="E92" s="194">
        <f t="shared" si="6"/>
        <v>25000</v>
      </c>
      <c r="F92" s="265">
        <v>0</v>
      </c>
      <c r="G92" s="194">
        <f t="shared" si="7"/>
        <v>25000</v>
      </c>
      <c r="H92" s="194"/>
      <c r="I92" s="194"/>
      <c r="J92" s="194">
        <v>25000</v>
      </c>
      <c r="K92" s="267"/>
    </row>
    <row r="93" spans="1:11" s="53" customFormat="1" ht="12.75">
      <c r="A93" s="354"/>
      <c r="B93" s="359"/>
      <c r="C93" s="360" t="s">
        <v>453</v>
      </c>
      <c r="D93" s="360">
        <v>10000</v>
      </c>
      <c r="E93" s="194">
        <f t="shared" si="6"/>
        <v>10000</v>
      </c>
      <c r="F93" s="265">
        <f t="shared" si="5"/>
        <v>100</v>
      </c>
      <c r="G93" s="194">
        <f t="shared" si="7"/>
        <v>10000</v>
      </c>
      <c r="H93" s="194"/>
      <c r="I93" s="194"/>
      <c r="J93" s="194">
        <v>10000</v>
      </c>
      <c r="K93" s="267"/>
    </row>
    <row r="94" spans="1:11" s="53" customFormat="1" ht="12.75">
      <c r="A94" s="354"/>
      <c r="B94" s="359"/>
      <c r="C94" s="360" t="s">
        <v>454</v>
      </c>
      <c r="D94" s="360">
        <v>240000</v>
      </c>
      <c r="E94" s="194">
        <f t="shared" si="6"/>
        <v>240000</v>
      </c>
      <c r="F94" s="265">
        <f t="shared" si="5"/>
        <v>100</v>
      </c>
      <c r="G94" s="194">
        <f t="shared" si="7"/>
        <v>240000</v>
      </c>
      <c r="H94" s="194"/>
      <c r="I94" s="194"/>
      <c r="J94" s="194">
        <v>240000</v>
      </c>
      <c r="K94" s="267"/>
    </row>
    <row r="95" spans="1:11" s="53" customFormat="1" ht="12.75">
      <c r="A95" s="354"/>
      <c r="B95" s="359"/>
      <c r="C95" s="360" t="s">
        <v>629</v>
      </c>
      <c r="D95" s="360"/>
      <c r="E95" s="194">
        <f t="shared" si="6"/>
        <v>200000</v>
      </c>
      <c r="F95" s="265">
        <v>0</v>
      </c>
      <c r="G95" s="194">
        <f t="shared" si="7"/>
        <v>200000</v>
      </c>
      <c r="H95" s="194"/>
      <c r="I95" s="194"/>
      <c r="J95" s="194">
        <v>200000</v>
      </c>
      <c r="K95" s="267"/>
    </row>
    <row r="96" spans="1:11" s="53" customFormat="1" ht="12.75">
      <c r="A96" s="354"/>
      <c r="B96" s="359"/>
      <c r="C96" s="360" t="s">
        <v>450</v>
      </c>
      <c r="D96" s="360">
        <v>120000</v>
      </c>
      <c r="E96" s="194">
        <f t="shared" si="6"/>
        <v>130000</v>
      </c>
      <c r="F96" s="265">
        <f t="shared" si="5"/>
        <v>108.33333333333333</v>
      </c>
      <c r="G96" s="194">
        <f t="shared" si="7"/>
        <v>130000</v>
      </c>
      <c r="H96" s="194"/>
      <c r="I96" s="194"/>
      <c r="J96" s="194">
        <f>2000000*0.065</f>
        <v>130000</v>
      </c>
      <c r="K96" s="267"/>
    </row>
    <row r="97" spans="1:11" s="53" customFormat="1" ht="15">
      <c r="A97" s="346">
        <v>758</v>
      </c>
      <c r="B97" s="347"/>
      <c r="C97" s="348" t="s">
        <v>284</v>
      </c>
      <c r="D97" s="348">
        <f>+D98+D104</f>
        <v>0</v>
      </c>
      <c r="E97" s="274">
        <f t="shared" si="6"/>
        <v>2239259</v>
      </c>
      <c r="F97" s="313"/>
      <c r="G97" s="274">
        <f>+G98+G104</f>
        <v>2239259</v>
      </c>
      <c r="H97" s="274"/>
      <c r="I97" s="274"/>
      <c r="J97" s="274"/>
      <c r="K97" s="314">
        <f>+K98+K104</f>
        <v>0</v>
      </c>
    </row>
    <row r="98" spans="1:11" s="53" customFormat="1" ht="12.75">
      <c r="A98" s="302"/>
      <c r="B98" s="292">
        <v>75818</v>
      </c>
      <c r="C98" s="293" t="s">
        <v>285</v>
      </c>
      <c r="D98" s="293">
        <f>SUM(D99:D103)</f>
        <v>0</v>
      </c>
      <c r="E98" s="275">
        <f t="shared" si="6"/>
        <v>490000</v>
      </c>
      <c r="F98" s="294"/>
      <c r="G98" s="275">
        <f>SUM(G99:G103)</f>
        <v>490000</v>
      </c>
      <c r="H98" s="275"/>
      <c r="I98" s="275"/>
      <c r="J98" s="275"/>
      <c r="K98" s="303"/>
    </row>
    <row r="99" spans="1:11" s="53" customFormat="1" ht="12.75">
      <c r="A99" s="354"/>
      <c r="B99" s="359"/>
      <c r="C99" s="360" t="s">
        <v>427</v>
      </c>
      <c r="D99" s="360"/>
      <c r="E99" s="194">
        <f t="shared" si="6"/>
        <v>200000</v>
      </c>
      <c r="F99" s="265"/>
      <c r="G99" s="194">
        <v>200000</v>
      </c>
      <c r="H99" s="194"/>
      <c r="I99" s="194"/>
      <c r="J99" s="194"/>
      <c r="K99" s="267"/>
    </row>
    <row r="100" spans="1:11" s="53" customFormat="1" ht="12.75">
      <c r="A100" s="354"/>
      <c r="B100" s="359"/>
      <c r="C100" s="360" t="s">
        <v>480</v>
      </c>
      <c r="D100" s="360"/>
      <c r="E100" s="194">
        <f t="shared" si="6"/>
        <v>20000</v>
      </c>
      <c r="F100" s="265"/>
      <c r="G100" s="194">
        <v>20000</v>
      </c>
      <c r="H100" s="194"/>
      <c r="I100" s="194"/>
      <c r="J100" s="194"/>
      <c r="K100" s="267"/>
    </row>
    <row r="101" spans="1:11" s="53" customFormat="1" ht="12.75">
      <c r="A101" s="354"/>
      <c r="B101" s="359"/>
      <c r="C101" s="360" t="s">
        <v>286</v>
      </c>
      <c r="D101" s="360"/>
      <c r="E101" s="194">
        <f t="shared" si="6"/>
        <v>100000</v>
      </c>
      <c r="F101" s="265"/>
      <c r="G101" s="325">
        <f>347206-247206</f>
        <v>100000</v>
      </c>
      <c r="H101" s="194"/>
      <c r="I101" s="194"/>
      <c r="J101" s="194"/>
      <c r="K101" s="267"/>
    </row>
    <row r="102" spans="1:11" s="53" customFormat="1" ht="12.75" customHeight="1">
      <c r="A102" s="354"/>
      <c r="B102" s="359"/>
      <c r="C102" s="360" t="s">
        <v>287</v>
      </c>
      <c r="D102" s="360"/>
      <c r="E102" s="194">
        <f t="shared" si="6"/>
        <v>120000</v>
      </c>
      <c r="F102" s="265"/>
      <c r="G102" s="194">
        <v>120000</v>
      </c>
      <c r="H102" s="194"/>
      <c r="I102" s="194"/>
      <c r="J102" s="194"/>
      <c r="K102" s="267"/>
    </row>
    <row r="103" spans="1:11" s="53" customFormat="1" ht="12.75">
      <c r="A103" s="288"/>
      <c r="B103" s="289"/>
      <c r="C103" s="290" t="s">
        <v>455</v>
      </c>
      <c r="D103" s="290"/>
      <c r="E103" s="197">
        <f t="shared" si="6"/>
        <v>50000</v>
      </c>
      <c r="F103" s="291"/>
      <c r="G103" s="197">
        <f>100000-50000</f>
        <v>50000</v>
      </c>
      <c r="H103" s="197"/>
      <c r="I103" s="197"/>
      <c r="J103" s="197"/>
      <c r="K103" s="273"/>
    </row>
    <row r="104" spans="1:11" s="53" customFormat="1" ht="12.75">
      <c r="A104" s="288"/>
      <c r="B104" s="292">
        <v>75831</v>
      </c>
      <c r="C104" s="293" t="s">
        <v>538</v>
      </c>
      <c r="D104" s="293">
        <f>+D105</f>
        <v>0</v>
      </c>
      <c r="E104" s="275">
        <f>+G104+K104</f>
        <v>1749259</v>
      </c>
      <c r="F104" s="294"/>
      <c r="G104" s="275">
        <f>+G105</f>
        <v>1749259</v>
      </c>
      <c r="H104" s="275"/>
      <c r="I104" s="275"/>
      <c r="J104" s="275"/>
      <c r="K104" s="303">
        <f>+K105</f>
        <v>0</v>
      </c>
    </row>
    <row r="105" spans="1:11" s="53" customFormat="1" ht="12.75">
      <c r="A105" s="353"/>
      <c r="B105" s="355"/>
      <c r="C105" s="356" t="s">
        <v>539</v>
      </c>
      <c r="D105" s="356"/>
      <c r="E105" s="255">
        <f>+G105+K105</f>
        <v>1749259</v>
      </c>
      <c r="F105" s="265"/>
      <c r="G105" s="255">
        <v>1749259</v>
      </c>
      <c r="H105" s="255"/>
      <c r="I105" s="255"/>
      <c r="J105" s="255"/>
      <c r="K105" s="256"/>
    </row>
    <row r="106" spans="1:11" s="53" customFormat="1" ht="15">
      <c r="A106" s="346">
        <v>801</v>
      </c>
      <c r="B106" s="347"/>
      <c r="C106" s="348" t="s">
        <v>288</v>
      </c>
      <c r="D106" s="348" t="e">
        <f>+D107+D119+D126+D129+D137+D139+D142+D147</f>
        <v>#REF!</v>
      </c>
      <c r="E106" s="274">
        <f t="shared" si="6"/>
        <v>15734413</v>
      </c>
      <c r="F106" s="313" t="e">
        <f t="shared" si="5"/>
        <v>#REF!</v>
      </c>
      <c r="G106" s="274">
        <f>+G107+G119+G126+G129+G137+G139+G142+G147</f>
        <v>15734413</v>
      </c>
      <c r="H106" s="274">
        <f>+H107+H119+H126+H129+H137+H139+H142+H147</f>
        <v>10434243</v>
      </c>
      <c r="I106" s="274">
        <f>+I107+I119+I126+I129+I137+I139+I142+I147</f>
        <v>1762000</v>
      </c>
      <c r="J106" s="274"/>
      <c r="K106" s="314">
        <f>+K107</f>
        <v>0</v>
      </c>
    </row>
    <row r="107" spans="1:11" s="53" customFormat="1" ht="12.75">
      <c r="A107" s="302"/>
      <c r="B107" s="292">
        <v>80101</v>
      </c>
      <c r="C107" s="293" t="s">
        <v>289</v>
      </c>
      <c r="D107" s="293" t="e">
        <f>+D108+D115+#REF!</f>
        <v>#REF!</v>
      </c>
      <c r="E107" s="275">
        <f t="shared" si="6"/>
        <v>7754112</v>
      </c>
      <c r="F107" s="294" t="e">
        <f t="shared" si="5"/>
        <v>#REF!</v>
      </c>
      <c r="G107" s="275">
        <f>+G108</f>
        <v>7754112</v>
      </c>
      <c r="H107" s="275">
        <f>+H108</f>
        <v>5992099</v>
      </c>
      <c r="I107" s="275"/>
      <c r="J107" s="275"/>
      <c r="K107" s="303">
        <f>SUM(K108:K118)</f>
        <v>0</v>
      </c>
    </row>
    <row r="108" spans="1:11" s="53" customFormat="1" ht="12.75">
      <c r="A108" s="288"/>
      <c r="B108" s="289"/>
      <c r="C108" s="290" t="s">
        <v>290</v>
      </c>
      <c r="D108" s="290">
        <f>SUM(D109:D114)</f>
        <v>7334612</v>
      </c>
      <c r="E108" s="197">
        <f t="shared" si="6"/>
        <v>7754112</v>
      </c>
      <c r="F108" s="291">
        <f t="shared" si="5"/>
        <v>105.71945728008517</v>
      </c>
      <c r="G108" s="197">
        <f>SUM(G110:G115)</f>
        <v>7754112</v>
      </c>
      <c r="H108" s="197">
        <f>SUM(H110:H114)</f>
        <v>5992099</v>
      </c>
      <c r="I108" s="197"/>
      <c r="J108" s="197"/>
      <c r="K108" s="273"/>
    </row>
    <row r="109" spans="1:11" s="53" customFormat="1" ht="12.75">
      <c r="A109" s="288"/>
      <c r="B109" s="289"/>
      <c r="C109" s="290" t="s">
        <v>291</v>
      </c>
      <c r="D109" s="361"/>
      <c r="E109" s="197">
        <f t="shared" si="6"/>
        <v>0</v>
      </c>
      <c r="F109" s="291"/>
      <c r="G109" s="197"/>
      <c r="H109" s="197"/>
      <c r="I109" s="197"/>
      <c r="J109" s="197"/>
      <c r="K109" s="273"/>
    </row>
    <row r="110" spans="1:11" s="53" customFormat="1" ht="12.75">
      <c r="A110" s="354"/>
      <c r="B110" s="359"/>
      <c r="C110" s="362" t="s">
        <v>296</v>
      </c>
      <c r="D110" s="360">
        <v>2193824</v>
      </c>
      <c r="E110" s="194">
        <f t="shared" si="6"/>
        <v>2321457</v>
      </c>
      <c r="F110" s="265">
        <f t="shared" si="5"/>
        <v>105.8178322417842</v>
      </c>
      <c r="G110" s="194">
        <f>2421457-G116</f>
        <v>2321457</v>
      </c>
      <c r="H110" s="194">
        <v>1876170</v>
      </c>
      <c r="I110" s="194"/>
      <c r="J110" s="194"/>
      <c r="K110" s="267"/>
    </row>
    <row r="111" spans="1:11" s="53" customFormat="1" ht="12.75">
      <c r="A111" s="354"/>
      <c r="B111" s="359"/>
      <c r="C111" s="362" t="s">
        <v>292</v>
      </c>
      <c r="D111" s="360">
        <v>1964318</v>
      </c>
      <c r="E111" s="194">
        <f t="shared" si="6"/>
        <v>2183569</v>
      </c>
      <c r="F111" s="265">
        <f t="shared" si="5"/>
        <v>111.16168563338522</v>
      </c>
      <c r="G111" s="194">
        <f>2198569-G117</f>
        <v>2183569</v>
      </c>
      <c r="H111" s="194">
        <v>1679232</v>
      </c>
      <c r="I111" s="194"/>
      <c r="J111" s="194"/>
      <c r="K111" s="267"/>
    </row>
    <row r="112" spans="1:11" s="53" customFormat="1" ht="12.75">
      <c r="A112" s="354"/>
      <c r="B112" s="359"/>
      <c r="C112" s="362" t="s">
        <v>293</v>
      </c>
      <c r="D112" s="360">
        <v>725126</v>
      </c>
      <c r="E112" s="194">
        <f t="shared" si="6"/>
        <v>729552</v>
      </c>
      <c r="F112" s="265">
        <f t="shared" si="5"/>
        <v>100.6103766793633</v>
      </c>
      <c r="G112" s="325">
        <v>729552</v>
      </c>
      <c r="H112" s="194">
        <v>665714</v>
      </c>
      <c r="I112" s="194"/>
      <c r="J112" s="194"/>
      <c r="K112" s="267"/>
    </row>
    <row r="113" spans="1:11" s="53" customFormat="1" ht="12.75">
      <c r="A113" s="354"/>
      <c r="B113" s="359"/>
      <c r="C113" s="362" t="s">
        <v>294</v>
      </c>
      <c r="D113" s="360">
        <v>1718573</v>
      </c>
      <c r="E113" s="194">
        <f t="shared" si="6"/>
        <v>1656184</v>
      </c>
      <c r="F113" s="265">
        <f t="shared" si="5"/>
        <v>96.36972069269098</v>
      </c>
      <c r="G113" s="194">
        <f>1666184-G118</f>
        <v>1656184</v>
      </c>
      <c r="H113" s="194">
        <v>1241406</v>
      </c>
      <c r="I113" s="194"/>
      <c r="J113" s="194"/>
      <c r="K113" s="267"/>
    </row>
    <row r="114" spans="1:11" s="53" customFormat="1" ht="12.75">
      <c r="A114" s="354"/>
      <c r="B114" s="359"/>
      <c r="C114" s="362" t="s">
        <v>295</v>
      </c>
      <c r="D114" s="360">
        <f>738771-6000</f>
        <v>732771</v>
      </c>
      <c r="E114" s="194">
        <f t="shared" si="6"/>
        <v>738350</v>
      </c>
      <c r="F114" s="265">
        <f t="shared" si="5"/>
        <v>100.7613565493176</v>
      </c>
      <c r="G114" s="194">
        <f>763350-25000</f>
        <v>738350</v>
      </c>
      <c r="H114" s="194">
        <v>529577</v>
      </c>
      <c r="I114" s="194"/>
      <c r="J114" s="194"/>
      <c r="K114" s="267"/>
    </row>
    <row r="115" spans="1:11" s="53" customFormat="1" ht="12.75">
      <c r="A115" s="354"/>
      <c r="B115" s="359"/>
      <c r="C115" s="363" t="s">
        <v>464</v>
      </c>
      <c r="D115" s="345">
        <f>SUM(D116:D118)</f>
        <v>0</v>
      </c>
      <c r="E115" s="328">
        <f>SUM(E116:E118)</f>
        <v>125000</v>
      </c>
      <c r="F115" s="329" t="e">
        <f>+E115/D115*100</f>
        <v>#DIV/0!</v>
      </c>
      <c r="G115" s="328">
        <f>SUM(G116:G118)</f>
        <v>125000</v>
      </c>
      <c r="H115" s="328"/>
      <c r="I115" s="328"/>
      <c r="J115" s="328"/>
      <c r="K115" s="330"/>
    </row>
    <row r="116" spans="1:11" s="53" customFormat="1" ht="12.75">
      <c r="A116" s="354"/>
      <c r="B116" s="359"/>
      <c r="C116" s="360" t="s">
        <v>296</v>
      </c>
      <c r="D116" s="345"/>
      <c r="E116" s="194">
        <f>+G116+K116</f>
        <v>100000</v>
      </c>
      <c r="F116" s="329"/>
      <c r="G116" s="325">
        <v>100000</v>
      </c>
      <c r="H116" s="328"/>
      <c r="I116" s="328"/>
      <c r="J116" s="328"/>
      <c r="K116" s="330"/>
    </row>
    <row r="117" spans="1:11" s="53" customFormat="1" ht="12.75">
      <c r="A117" s="354"/>
      <c r="B117" s="359"/>
      <c r="C117" s="362" t="s">
        <v>292</v>
      </c>
      <c r="D117" s="345"/>
      <c r="E117" s="194">
        <f>+G117+K117</f>
        <v>15000</v>
      </c>
      <c r="F117" s="329"/>
      <c r="G117" s="325">
        <v>15000</v>
      </c>
      <c r="H117" s="328"/>
      <c r="I117" s="328"/>
      <c r="J117" s="328"/>
      <c r="K117" s="330"/>
    </row>
    <row r="118" spans="1:11" s="53" customFormat="1" ht="12.75">
      <c r="A118" s="354"/>
      <c r="B118" s="359"/>
      <c r="C118" s="362" t="s">
        <v>294</v>
      </c>
      <c r="D118" s="345"/>
      <c r="E118" s="194">
        <f>+G118+K118</f>
        <v>10000</v>
      </c>
      <c r="F118" s="329"/>
      <c r="G118" s="325">
        <v>10000</v>
      </c>
      <c r="H118" s="328"/>
      <c r="I118" s="328"/>
      <c r="J118" s="328"/>
      <c r="K118" s="330"/>
    </row>
    <row r="119" spans="1:11" s="53" customFormat="1" ht="12.75">
      <c r="A119" s="365"/>
      <c r="B119" s="366">
        <v>80103</v>
      </c>
      <c r="C119" s="345" t="s">
        <v>522</v>
      </c>
      <c r="D119" s="345">
        <f>SUM(D120:D125)</f>
        <v>423406</v>
      </c>
      <c r="E119" s="328">
        <f>+G119+K119</f>
        <v>348935</v>
      </c>
      <c r="F119" s="329">
        <f t="shared" si="5"/>
        <v>82.41144433475198</v>
      </c>
      <c r="G119" s="328">
        <f>SUM(G121:G125)</f>
        <v>348935</v>
      </c>
      <c r="H119" s="328">
        <f>SUM(H121:H125)</f>
        <v>318208</v>
      </c>
      <c r="I119" s="328"/>
      <c r="J119" s="328"/>
      <c r="K119" s="330"/>
    </row>
    <row r="120" spans="1:11" s="53" customFormat="1" ht="12.75">
      <c r="A120" s="354"/>
      <c r="B120" s="359"/>
      <c r="C120" s="362" t="s">
        <v>291</v>
      </c>
      <c r="D120" s="367"/>
      <c r="E120" s="325"/>
      <c r="F120" s="368"/>
      <c r="G120" s="325"/>
      <c r="H120" s="194"/>
      <c r="I120" s="194"/>
      <c r="J120" s="194"/>
      <c r="K120" s="267"/>
    </row>
    <row r="121" spans="1:11" s="53" customFormat="1" ht="12.75">
      <c r="A121" s="288"/>
      <c r="B121" s="289"/>
      <c r="C121" s="270" t="s">
        <v>296</v>
      </c>
      <c r="D121" s="270">
        <v>102513</v>
      </c>
      <c r="E121" s="271">
        <f aca="true" t="shared" si="8" ref="E121:E129">+G121+K121</f>
        <v>99420</v>
      </c>
      <c r="F121" s="272">
        <f t="shared" si="5"/>
        <v>96.9828216909075</v>
      </c>
      <c r="G121" s="271">
        <v>99420</v>
      </c>
      <c r="H121" s="197">
        <v>93986</v>
      </c>
      <c r="I121" s="197"/>
      <c r="J121" s="197"/>
      <c r="K121" s="273"/>
    </row>
    <row r="122" spans="1:11" s="53" customFormat="1" ht="12.75">
      <c r="A122" s="288"/>
      <c r="B122" s="289"/>
      <c r="C122" s="270" t="s">
        <v>297</v>
      </c>
      <c r="D122" s="270">
        <v>106696</v>
      </c>
      <c r="E122" s="271">
        <f t="shared" si="8"/>
        <v>99554</v>
      </c>
      <c r="F122" s="272">
        <f t="shared" si="5"/>
        <v>93.30621579065756</v>
      </c>
      <c r="G122" s="271">
        <v>99554</v>
      </c>
      <c r="H122" s="197">
        <v>93332</v>
      </c>
      <c r="I122" s="197"/>
      <c r="J122" s="197"/>
      <c r="K122" s="273"/>
    </row>
    <row r="123" spans="1:11" s="53" customFormat="1" ht="12.75">
      <c r="A123" s="288"/>
      <c r="B123" s="289"/>
      <c r="C123" s="270" t="s">
        <v>293</v>
      </c>
      <c r="D123" s="270">
        <v>64805</v>
      </c>
      <c r="E123" s="271">
        <f t="shared" si="8"/>
        <v>40622</v>
      </c>
      <c r="F123" s="272">
        <f t="shared" si="5"/>
        <v>62.683434920145054</v>
      </c>
      <c r="G123" s="271">
        <v>40622</v>
      </c>
      <c r="H123" s="197">
        <v>36014</v>
      </c>
      <c r="I123" s="197"/>
      <c r="J123" s="197"/>
      <c r="K123" s="273"/>
    </row>
    <row r="124" spans="1:11" s="53" customFormat="1" ht="12.75">
      <c r="A124" s="288"/>
      <c r="B124" s="289"/>
      <c r="C124" s="270" t="s">
        <v>294</v>
      </c>
      <c r="D124" s="270">
        <v>97239</v>
      </c>
      <c r="E124" s="271">
        <f t="shared" si="8"/>
        <v>76224</v>
      </c>
      <c r="F124" s="272">
        <f t="shared" si="5"/>
        <v>78.38830099034338</v>
      </c>
      <c r="G124" s="271">
        <v>76224</v>
      </c>
      <c r="H124" s="197">
        <v>66670</v>
      </c>
      <c r="I124" s="197"/>
      <c r="J124" s="197"/>
      <c r="K124" s="273"/>
    </row>
    <row r="125" spans="1:11" s="53" customFormat="1" ht="12.75">
      <c r="A125" s="288"/>
      <c r="B125" s="289"/>
      <c r="C125" s="270" t="s">
        <v>295</v>
      </c>
      <c r="D125" s="270">
        <v>52153</v>
      </c>
      <c r="E125" s="271">
        <f t="shared" si="8"/>
        <v>33115</v>
      </c>
      <c r="F125" s="272">
        <f t="shared" si="5"/>
        <v>63.495867927060765</v>
      </c>
      <c r="G125" s="271">
        <v>33115</v>
      </c>
      <c r="H125" s="197">
        <v>28206</v>
      </c>
      <c r="I125" s="197"/>
      <c r="J125" s="197"/>
      <c r="K125" s="273"/>
    </row>
    <row r="126" spans="1:11" s="53" customFormat="1" ht="12.75">
      <c r="A126" s="288"/>
      <c r="B126" s="292">
        <v>80104</v>
      </c>
      <c r="C126" s="369" t="s">
        <v>308</v>
      </c>
      <c r="D126" s="369">
        <f>SUM(D127:D128)</f>
        <v>1380822</v>
      </c>
      <c r="E126" s="370">
        <f t="shared" si="8"/>
        <v>1690000</v>
      </c>
      <c r="F126" s="371">
        <f t="shared" si="5"/>
        <v>122.39086573070243</v>
      </c>
      <c r="G126" s="370">
        <f>SUM(G127:G128)</f>
        <v>1690000</v>
      </c>
      <c r="H126" s="275">
        <f>SUM(H127:H128)</f>
        <v>8000</v>
      </c>
      <c r="I126" s="275">
        <f>SUM(I127:I128)</f>
        <v>1632000</v>
      </c>
      <c r="J126" s="275"/>
      <c r="K126" s="303"/>
    </row>
    <row r="127" spans="1:11" s="53" customFormat="1" ht="12.75" customHeight="1">
      <c r="A127" s="288"/>
      <c r="B127" s="289"/>
      <c r="C127" s="270" t="s">
        <v>309</v>
      </c>
      <c r="D127" s="270">
        <v>1280822</v>
      </c>
      <c r="E127" s="271">
        <f t="shared" si="8"/>
        <v>1632000</v>
      </c>
      <c r="F127" s="272">
        <f t="shared" si="5"/>
        <v>127.41817364161452</v>
      </c>
      <c r="G127" s="271">
        <f>+I127+H127</f>
        <v>1632000</v>
      </c>
      <c r="H127" s="197"/>
      <c r="I127" s="197">
        <v>1632000</v>
      </c>
      <c r="J127" s="197"/>
      <c r="K127" s="273"/>
    </row>
    <row r="128" spans="1:11" s="53" customFormat="1" ht="12.75">
      <c r="A128" s="288"/>
      <c r="B128" s="289"/>
      <c r="C128" s="270" t="s">
        <v>562</v>
      </c>
      <c r="D128" s="270">
        <v>100000</v>
      </c>
      <c r="E128" s="271">
        <f t="shared" si="8"/>
        <v>58000</v>
      </c>
      <c r="F128" s="272">
        <f t="shared" si="5"/>
        <v>57.99999999999999</v>
      </c>
      <c r="G128" s="271">
        <v>58000</v>
      </c>
      <c r="H128" s="197">
        <v>8000</v>
      </c>
      <c r="I128" s="197"/>
      <c r="J128" s="197"/>
      <c r="K128" s="273"/>
    </row>
    <row r="129" spans="1:11" s="53" customFormat="1" ht="12.75">
      <c r="A129" s="288"/>
      <c r="B129" s="292">
        <v>80110</v>
      </c>
      <c r="C129" s="369" t="s">
        <v>298</v>
      </c>
      <c r="D129" s="369" t="e">
        <f>SUM(D130:D134,#REF!)</f>
        <v>#REF!</v>
      </c>
      <c r="E129" s="370">
        <f t="shared" si="8"/>
        <v>4661182</v>
      </c>
      <c r="F129" s="371" t="e">
        <f t="shared" si="5"/>
        <v>#REF!</v>
      </c>
      <c r="G129" s="370">
        <f>SUM(G131:G134)</f>
        <v>4661182</v>
      </c>
      <c r="H129" s="275">
        <f>SUM(H131:H133)</f>
        <v>3626220</v>
      </c>
      <c r="I129" s="275"/>
      <c r="J129" s="275"/>
      <c r="K129" s="303"/>
    </row>
    <row r="130" spans="1:11" s="53" customFormat="1" ht="12.75">
      <c r="A130" s="288"/>
      <c r="B130" s="289"/>
      <c r="C130" s="270" t="s">
        <v>299</v>
      </c>
      <c r="D130" s="361"/>
      <c r="E130" s="271"/>
      <c r="F130" s="272"/>
      <c r="G130" s="271"/>
      <c r="H130" s="197"/>
      <c r="I130" s="197"/>
      <c r="J130" s="197"/>
      <c r="K130" s="273"/>
    </row>
    <row r="131" spans="1:11" s="53" customFormat="1" ht="12.75">
      <c r="A131" s="288"/>
      <c r="B131" s="289"/>
      <c r="C131" s="270" t="s">
        <v>300</v>
      </c>
      <c r="D131" s="270">
        <f>906355-D135</f>
        <v>863705</v>
      </c>
      <c r="E131" s="271">
        <f aca="true" t="shared" si="9" ref="E131:E136">+G131+K131</f>
        <v>949570</v>
      </c>
      <c r="F131" s="272">
        <f t="shared" si="5"/>
        <v>109.94147307240318</v>
      </c>
      <c r="G131" s="271">
        <f>964570-G135</f>
        <v>949570</v>
      </c>
      <c r="H131" s="197">
        <f>539650+46000+109150+16000+14990</f>
        <v>725790</v>
      </c>
      <c r="I131" s="197"/>
      <c r="J131" s="197"/>
      <c r="K131" s="273"/>
    </row>
    <row r="132" spans="1:11" s="53" customFormat="1" ht="12.75">
      <c r="A132" s="288"/>
      <c r="B132" s="289"/>
      <c r="C132" s="270" t="s">
        <v>301</v>
      </c>
      <c r="D132" s="270">
        <v>2578489</v>
      </c>
      <c r="E132" s="271">
        <f t="shared" si="9"/>
        <v>2567389</v>
      </c>
      <c r="F132" s="272">
        <f t="shared" si="5"/>
        <v>99.56951532467271</v>
      </c>
      <c r="G132" s="271">
        <f>2617389-G136</f>
        <v>2567389</v>
      </c>
      <c r="H132" s="197">
        <v>2120196</v>
      </c>
      <c r="I132" s="197"/>
      <c r="J132" s="197"/>
      <c r="K132" s="273"/>
    </row>
    <row r="133" spans="1:11" s="53" customFormat="1" ht="12.75">
      <c r="A133" s="354"/>
      <c r="B133" s="359"/>
      <c r="C133" s="362" t="s">
        <v>302</v>
      </c>
      <c r="D133" s="362">
        <v>888759</v>
      </c>
      <c r="E133" s="325">
        <f t="shared" si="9"/>
        <v>1079223</v>
      </c>
      <c r="F133" s="368">
        <f t="shared" si="5"/>
        <v>121.4303315071915</v>
      </c>
      <c r="G133" s="325">
        <v>1079223</v>
      </c>
      <c r="H133" s="194">
        <v>780234</v>
      </c>
      <c r="I133" s="194"/>
      <c r="J133" s="194"/>
      <c r="K133" s="267"/>
    </row>
    <row r="134" spans="1:11" s="53" customFormat="1" ht="12.75">
      <c r="A134" s="354"/>
      <c r="B134" s="359"/>
      <c r="C134" s="363" t="s">
        <v>464</v>
      </c>
      <c r="D134" s="363">
        <f>SUM(D135:D136)</f>
        <v>110058</v>
      </c>
      <c r="E134" s="372">
        <f t="shared" si="9"/>
        <v>65000</v>
      </c>
      <c r="F134" s="373">
        <f t="shared" si="5"/>
        <v>59.05976848570753</v>
      </c>
      <c r="G134" s="372">
        <f>SUM(G135:G136)</f>
        <v>65000</v>
      </c>
      <c r="H134" s="328"/>
      <c r="I134" s="328"/>
      <c r="J134" s="328"/>
      <c r="K134" s="330"/>
    </row>
    <row r="135" spans="1:11" s="53" customFormat="1" ht="12.75">
      <c r="A135" s="354"/>
      <c r="B135" s="359"/>
      <c r="C135" s="362" t="s">
        <v>300</v>
      </c>
      <c r="D135" s="362">
        <v>42650</v>
      </c>
      <c r="E135" s="325">
        <f t="shared" si="9"/>
        <v>15000</v>
      </c>
      <c r="F135" s="368"/>
      <c r="G135" s="325">
        <v>15000</v>
      </c>
      <c r="H135" s="328"/>
      <c r="I135" s="328"/>
      <c r="J135" s="328"/>
      <c r="K135" s="330"/>
    </row>
    <row r="136" spans="1:11" s="53" customFormat="1" ht="12.75">
      <c r="A136" s="354"/>
      <c r="B136" s="359"/>
      <c r="C136" s="270" t="s">
        <v>301</v>
      </c>
      <c r="D136" s="362">
        <v>67408</v>
      </c>
      <c r="E136" s="325">
        <f t="shared" si="9"/>
        <v>50000</v>
      </c>
      <c r="F136" s="368"/>
      <c r="G136" s="325">
        <v>50000</v>
      </c>
      <c r="H136" s="328"/>
      <c r="I136" s="328"/>
      <c r="J136" s="328"/>
      <c r="K136" s="330"/>
    </row>
    <row r="137" spans="1:11" s="53" customFormat="1" ht="12.75">
      <c r="A137" s="365"/>
      <c r="B137" s="366">
        <v>80113</v>
      </c>
      <c r="C137" s="363" t="s">
        <v>303</v>
      </c>
      <c r="D137" s="363">
        <f>+D138</f>
        <v>160000</v>
      </c>
      <c r="E137" s="372">
        <f aca="true" t="shared" si="10" ref="E137:E143">+G137+K137</f>
        <v>170078</v>
      </c>
      <c r="F137" s="373">
        <f t="shared" si="5"/>
        <v>106.29875</v>
      </c>
      <c r="G137" s="372">
        <f>+G138</f>
        <v>170078</v>
      </c>
      <c r="H137" s="328">
        <f>+H138</f>
        <v>0</v>
      </c>
      <c r="I137" s="328"/>
      <c r="J137" s="328"/>
      <c r="K137" s="330"/>
    </row>
    <row r="138" spans="1:11" s="53" customFormat="1" ht="12.75">
      <c r="A138" s="354"/>
      <c r="B138" s="359"/>
      <c r="C138" s="362" t="s">
        <v>304</v>
      </c>
      <c r="D138" s="362">
        <v>160000</v>
      </c>
      <c r="E138" s="325">
        <f t="shared" si="10"/>
        <v>170078</v>
      </c>
      <c r="F138" s="368">
        <f t="shared" si="5"/>
        <v>106.29875</v>
      </c>
      <c r="G138" s="325">
        <f>95000+75078</f>
        <v>170078</v>
      </c>
      <c r="H138" s="194"/>
      <c r="I138" s="194"/>
      <c r="J138" s="194"/>
      <c r="K138" s="267"/>
    </row>
    <row r="139" spans="1:11" s="53" customFormat="1" ht="12.75" customHeight="1">
      <c r="A139" s="354"/>
      <c r="B139" s="366">
        <v>80114</v>
      </c>
      <c r="C139" s="345" t="s">
        <v>305</v>
      </c>
      <c r="D139" s="345">
        <f>SUM(D140:D141)</f>
        <v>579157</v>
      </c>
      <c r="E139" s="328">
        <f t="shared" si="10"/>
        <v>643271</v>
      </c>
      <c r="F139" s="329">
        <f aca="true" t="shared" si="11" ref="F139:F192">+E139/D139*100</f>
        <v>111.07022793473963</v>
      </c>
      <c r="G139" s="328">
        <f>SUM(G140:G141)</f>
        <v>643271</v>
      </c>
      <c r="H139" s="328">
        <f>+H140</f>
        <v>487716</v>
      </c>
      <c r="I139" s="328"/>
      <c r="J139" s="328"/>
      <c r="K139" s="330"/>
    </row>
    <row r="140" spans="1:11" s="53" customFormat="1" ht="12.75" customHeight="1">
      <c r="A140" s="354"/>
      <c r="B140" s="366"/>
      <c r="C140" s="360" t="s">
        <v>307</v>
      </c>
      <c r="D140" s="360">
        <f>579157-D141</f>
        <v>577400</v>
      </c>
      <c r="E140" s="194">
        <f>+G140+K140</f>
        <v>593271</v>
      </c>
      <c r="F140" s="265">
        <f>+E140/D140*100</f>
        <v>102.748701073779</v>
      </c>
      <c r="G140" s="194">
        <f>643271-G141</f>
        <v>593271</v>
      </c>
      <c r="H140" s="194">
        <v>487716</v>
      </c>
      <c r="I140" s="328"/>
      <c r="J140" s="328"/>
      <c r="K140" s="330"/>
    </row>
    <row r="141" spans="1:11" s="53" customFormat="1" ht="12.75">
      <c r="A141" s="354"/>
      <c r="B141" s="359"/>
      <c r="C141" s="360" t="s">
        <v>536</v>
      </c>
      <c r="D141" s="360">
        <v>1757</v>
      </c>
      <c r="E141" s="194">
        <f t="shared" si="10"/>
        <v>50000</v>
      </c>
      <c r="F141" s="265">
        <f t="shared" si="11"/>
        <v>2845.7598178713715</v>
      </c>
      <c r="G141" s="194">
        <f>350000-300000</f>
        <v>50000</v>
      </c>
      <c r="H141" s="194"/>
      <c r="I141" s="194"/>
      <c r="J141" s="194"/>
      <c r="K141" s="267"/>
    </row>
    <row r="142" spans="1:11" s="53" customFormat="1" ht="12.75">
      <c r="A142" s="365"/>
      <c r="B142" s="366">
        <v>80195</v>
      </c>
      <c r="C142" s="345" t="s">
        <v>264</v>
      </c>
      <c r="D142" s="345">
        <f>SUM(D143:D146)</f>
        <v>492143.32</v>
      </c>
      <c r="E142" s="328">
        <f t="shared" si="10"/>
        <v>336835</v>
      </c>
      <c r="F142" s="329">
        <f t="shared" si="11"/>
        <v>68.44246102944157</v>
      </c>
      <c r="G142" s="328">
        <f>SUM(G143:G146)</f>
        <v>336835</v>
      </c>
      <c r="H142" s="328">
        <f>SUM(H143:H146)</f>
        <v>2000</v>
      </c>
      <c r="I142" s="328"/>
      <c r="J142" s="328"/>
      <c r="K142" s="267"/>
    </row>
    <row r="143" spans="1:11" s="53" customFormat="1" ht="12.75">
      <c r="A143" s="354"/>
      <c r="B143" s="359"/>
      <c r="C143" s="360" t="s">
        <v>542</v>
      </c>
      <c r="D143" s="360">
        <v>935.32</v>
      </c>
      <c r="E143" s="194">
        <f t="shared" si="10"/>
        <v>2500</v>
      </c>
      <c r="F143" s="265">
        <f t="shared" si="11"/>
        <v>267.28820082966257</v>
      </c>
      <c r="G143" s="194">
        <v>2500</v>
      </c>
      <c r="H143" s="194">
        <v>2000</v>
      </c>
      <c r="I143" s="194"/>
      <c r="J143" s="194"/>
      <c r="K143" s="267"/>
    </row>
    <row r="144" spans="1:11" s="53" customFormat="1" ht="12.75">
      <c r="A144" s="354"/>
      <c r="B144" s="359"/>
      <c r="C144" s="360" t="s">
        <v>462</v>
      </c>
      <c r="D144" s="360">
        <v>307881</v>
      </c>
      <c r="E144" s="194">
        <f>+G144+K144</f>
        <v>95535</v>
      </c>
      <c r="F144" s="265"/>
      <c r="G144" s="194">
        <v>95535</v>
      </c>
      <c r="H144" s="194"/>
      <c r="I144" s="194"/>
      <c r="J144" s="194"/>
      <c r="K144" s="267"/>
    </row>
    <row r="145" spans="1:18" s="53" customFormat="1" ht="12.75">
      <c r="A145" s="354"/>
      <c r="B145" s="359"/>
      <c r="C145" s="360" t="s">
        <v>447</v>
      </c>
      <c r="D145" s="360">
        <v>70000</v>
      </c>
      <c r="E145" s="194">
        <f>+G145+K145</f>
        <v>111800</v>
      </c>
      <c r="F145" s="265"/>
      <c r="G145" s="194">
        <f>SUM(L145:T145)</f>
        <v>111800</v>
      </c>
      <c r="H145" s="194"/>
      <c r="I145" s="194"/>
      <c r="J145" s="194"/>
      <c r="K145" s="267"/>
      <c r="L145" s="53">
        <v>9900</v>
      </c>
      <c r="M145" s="53">
        <v>50600</v>
      </c>
      <c r="N145" s="53">
        <v>12600</v>
      </c>
      <c r="O145" s="53">
        <v>7200</v>
      </c>
      <c r="P145" s="53">
        <v>5400</v>
      </c>
      <c r="Q145" s="53">
        <v>20700</v>
      </c>
      <c r="R145" s="53">
        <v>5400</v>
      </c>
    </row>
    <row r="146" spans="1:18" s="53" customFormat="1" ht="12.75">
      <c r="A146" s="354"/>
      <c r="B146" s="359"/>
      <c r="C146" s="360" t="s">
        <v>537</v>
      </c>
      <c r="D146" s="360">
        <v>113327</v>
      </c>
      <c r="E146" s="194">
        <f aca="true" t="shared" si="12" ref="E146:E157">+G146+K146</f>
        <v>127000</v>
      </c>
      <c r="F146" s="265">
        <f t="shared" si="11"/>
        <v>112.06508599009946</v>
      </c>
      <c r="G146" s="194">
        <f>SUM(L146:T146)</f>
        <v>127000</v>
      </c>
      <c r="H146" s="194"/>
      <c r="I146" s="194"/>
      <c r="J146" s="194"/>
      <c r="K146" s="267"/>
      <c r="L146" s="53">
        <v>13000</v>
      </c>
      <c r="M146" s="53">
        <v>11000</v>
      </c>
      <c r="N146" s="53">
        <v>11000</v>
      </c>
      <c r="O146" s="53">
        <v>49000</v>
      </c>
      <c r="P146" s="53">
        <v>16000</v>
      </c>
      <c r="Q146" s="53">
        <v>19000</v>
      </c>
      <c r="R146" s="53">
        <v>8000</v>
      </c>
    </row>
    <row r="147" spans="1:11" s="53" customFormat="1" ht="12.75">
      <c r="A147" s="365"/>
      <c r="B147" s="366">
        <v>80197</v>
      </c>
      <c r="C147" s="345" t="s">
        <v>15</v>
      </c>
      <c r="D147" s="345">
        <f>+D148</f>
        <v>127200</v>
      </c>
      <c r="E147" s="328">
        <f t="shared" si="12"/>
        <v>130000</v>
      </c>
      <c r="F147" s="329">
        <f t="shared" si="11"/>
        <v>102.20125786163523</v>
      </c>
      <c r="G147" s="328">
        <f>+G148</f>
        <v>130000</v>
      </c>
      <c r="H147" s="328">
        <f>+H148</f>
        <v>0</v>
      </c>
      <c r="I147" s="328">
        <f>+I148</f>
        <v>130000</v>
      </c>
      <c r="J147" s="328"/>
      <c r="K147" s="330"/>
    </row>
    <row r="148" spans="1:11" s="53" customFormat="1" ht="12.75">
      <c r="A148" s="354"/>
      <c r="B148" s="359"/>
      <c r="C148" s="360" t="s">
        <v>310</v>
      </c>
      <c r="D148" s="360">
        <v>127200</v>
      </c>
      <c r="E148" s="194">
        <f t="shared" si="12"/>
        <v>130000</v>
      </c>
      <c r="F148" s="265">
        <f t="shared" si="11"/>
        <v>102.20125786163523</v>
      </c>
      <c r="G148" s="194">
        <v>130000</v>
      </c>
      <c r="H148" s="194"/>
      <c r="I148" s="194">
        <f>+G148</f>
        <v>130000</v>
      </c>
      <c r="J148" s="194"/>
      <c r="K148" s="267"/>
    </row>
    <row r="149" spans="1:11" s="53" customFormat="1" ht="15">
      <c r="A149" s="346">
        <v>851</v>
      </c>
      <c r="B149" s="347"/>
      <c r="C149" s="348" t="s">
        <v>311</v>
      </c>
      <c r="D149" s="348">
        <f>+D150+D152+D154+D156</f>
        <v>892866</v>
      </c>
      <c r="E149" s="274">
        <f t="shared" si="12"/>
        <v>624641</v>
      </c>
      <c r="F149" s="313">
        <f t="shared" si="11"/>
        <v>69.95909800574779</v>
      </c>
      <c r="G149" s="274">
        <f>+G150+G152+G154+G156</f>
        <v>624641</v>
      </c>
      <c r="H149" s="274">
        <f>+H150+H152+H154+H156</f>
        <v>210000</v>
      </c>
      <c r="I149" s="274">
        <f>+I150+I152+I154+I156</f>
        <v>199641</v>
      </c>
      <c r="J149" s="274"/>
      <c r="K149" s="314">
        <f>+K152</f>
        <v>0</v>
      </c>
    </row>
    <row r="150" spans="1:11" s="53" customFormat="1" ht="15">
      <c r="A150" s="350"/>
      <c r="B150" s="374">
        <v>85111</v>
      </c>
      <c r="C150" s="375" t="s">
        <v>432</v>
      </c>
      <c r="D150" s="375">
        <f>+D151</f>
        <v>507866</v>
      </c>
      <c r="E150" s="351">
        <f t="shared" si="12"/>
        <v>199641</v>
      </c>
      <c r="F150" s="352">
        <f t="shared" si="11"/>
        <v>39.30977856363687</v>
      </c>
      <c r="G150" s="351">
        <f>+G151</f>
        <v>199641</v>
      </c>
      <c r="H150" s="351">
        <f>+H151</f>
        <v>0</v>
      </c>
      <c r="I150" s="351">
        <f>+I151</f>
        <v>199641</v>
      </c>
      <c r="J150" s="351"/>
      <c r="K150" s="376"/>
    </row>
    <row r="151" spans="1:11" s="53" customFormat="1" ht="12.75">
      <c r="A151" s="288"/>
      <c r="B151" s="292"/>
      <c r="C151" s="290" t="s">
        <v>433</v>
      </c>
      <c r="D151" s="290">
        <v>507866</v>
      </c>
      <c r="E151" s="197">
        <f t="shared" si="12"/>
        <v>199641</v>
      </c>
      <c r="F151" s="291">
        <f t="shared" si="11"/>
        <v>39.30977856363687</v>
      </c>
      <c r="G151" s="197">
        <v>199641</v>
      </c>
      <c r="H151" s="275"/>
      <c r="I151" s="197">
        <f>+G151</f>
        <v>199641</v>
      </c>
      <c r="J151" s="275"/>
      <c r="K151" s="303"/>
    </row>
    <row r="152" spans="1:11" s="53" customFormat="1" ht="12.75">
      <c r="A152" s="288"/>
      <c r="B152" s="292">
        <v>85121</v>
      </c>
      <c r="C152" s="293" t="s">
        <v>312</v>
      </c>
      <c r="D152" s="293">
        <f>SUM(D153:D153)</f>
        <v>100000</v>
      </c>
      <c r="E152" s="275">
        <f t="shared" si="12"/>
        <v>120000</v>
      </c>
      <c r="F152" s="294">
        <f t="shared" si="11"/>
        <v>120</v>
      </c>
      <c r="G152" s="275">
        <f>SUM(G153:G153)</f>
        <v>120000</v>
      </c>
      <c r="H152" s="275"/>
      <c r="I152" s="275"/>
      <c r="J152" s="275"/>
      <c r="K152" s="303">
        <f>+K153</f>
        <v>0</v>
      </c>
    </row>
    <row r="153" spans="1:11" s="53" customFormat="1" ht="12.75">
      <c r="A153" s="288"/>
      <c r="B153" s="292"/>
      <c r="C153" s="290" t="s">
        <v>451</v>
      </c>
      <c r="D153" s="290">
        <v>100000</v>
      </c>
      <c r="E153" s="197">
        <f t="shared" si="12"/>
        <v>120000</v>
      </c>
      <c r="F153" s="291">
        <f t="shared" si="11"/>
        <v>120</v>
      </c>
      <c r="G153" s="197">
        <f>150000-30000</f>
        <v>120000</v>
      </c>
      <c r="H153" s="275"/>
      <c r="I153" s="275"/>
      <c r="J153" s="275"/>
      <c r="K153" s="303"/>
    </row>
    <row r="154" spans="1:11" s="53" customFormat="1" ht="12.75">
      <c r="A154" s="288"/>
      <c r="B154" s="292">
        <v>85153</v>
      </c>
      <c r="C154" s="293" t="s">
        <v>318</v>
      </c>
      <c r="D154" s="293">
        <f>+D155</f>
        <v>48500</v>
      </c>
      <c r="E154" s="275">
        <f t="shared" si="12"/>
        <v>50000</v>
      </c>
      <c r="F154" s="294">
        <f t="shared" si="11"/>
        <v>103.09278350515463</v>
      </c>
      <c r="G154" s="275">
        <f>+G155</f>
        <v>50000</v>
      </c>
      <c r="H154" s="275">
        <f>+H155</f>
        <v>40000</v>
      </c>
      <c r="I154" s="275"/>
      <c r="J154" s="275"/>
      <c r="K154" s="303"/>
    </row>
    <row r="155" spans="1:11" s="53" customFormat="1" ht="12.75" customHeight="1">
      <c r="A155" s="288"/>
      <c r="B155" s="292"/>
      <c r="C155" s="290" t="s">
        <v>385</v>
      </c>
      <c r="D155" s="290">
        <v>48500</v>
      </c>
      <c r="E155" s="197">
        <f t="shared" si="12"/>
        <v>50000</v>
      </c>
      <c r="F155" s="291">
        <f t="shared" si="11"/>
        <v>103.09278350515463</v>
      </c>
      <c r="G155" s="197">
        <v>50000</v>
      </c>
      <c r="H155" s="197">
        <v>40000</v>
      </c>
      <c r="I155" s="197"/>
      <c r="J155" s="197"/>
      <c r="K155" s="273"/>
    </row>
    <row r="156" spans="1:11" s="53" customFormat="1" ht="12.75">
      <c r="A156" s="288"/>
      <c r="B156" s="292">
        <v>85154</v>
      </c>
      <c r="C156" s="293" t="s">
        <v>319</v>
      </c>
      <c r="D156" s="293">
        <f>SUM(D157:D157)</f>
        <v>236500</v>
      </c>
      <c r="E156" s="275">
        <f t="shared" si="12"/>
        <v>255000</v>
      </c>
      <c r="F156" s="294">
        <f t="shared" si="11"/>
        <v>107.82241014799155</v>
      </c>
      <c r="G156" s="275">
        <f>SUM(G157:G157)</f>
        <v>255000</v>
      </c>
      <c r="H156" s="275">
        <f>+H157</f>
        <v>170000</v>
      </c>
      <c r="I156" s="275"/>
      <c r="J156" s="275"/>
      <c r="K156" s="303"/>
    </row>
    <row r="157" spans="1:11" s="53" customFormat="1" ht="15" customHeight="1">
      <c r="A157" s="354"/>
      <c r="B157" s="359"/>
      <c r="C157" s="360" t="s">
        <v>386</v>
      </c>
      <c r="D157" s="360">
        <v>236500</v>
      </c>
      <c r="E157" s="194">
        <f t="shared" si="12"/>
        <v>255000</v>
      </c>
      <c r="F157" s="265">
        <f t="shared" si="11"/>
        <v>107.82241014799155</v>
      </c>
      <c r="G157" s="194">
        <v>255000</v>
      </c>
      <c r="H157" s="194">
        <v>170000</v>
      </c>
      <c r="I157" s="194"/>
      <c r="J157" s="194"/>
      <c r="K157" s="267"/>
    </row>
    <row r="158" spans="1:11" s="53" customFormat="1" ht="15">
      <c r="A158" s="346">
        <v>852</v>
      </c>
      <c r="B158" s="347"/>
      <c r="C158" s="348" t="s">
        <v>320</v>
      </c>
      <c r="D158" s="348">
        <f>+D159+D161+D162+D163+D165+D167+D169</f>
        <v>2853540</v>
      </c>
      <c r="E158" s="274">
        <f aca="true" t="shared" si="13" ref="E158:E188">+G158+K158</f>
        <v>2853147</v>
      </c>
      <c r="F158" s="313">
        <f t="shared" si="11"/>
        <v>99.98622763304526</v>
      </c>
      <c r="G158" s="274">
        <f>G159+G161+G162+G163+G165+G167+G169</f>
        <v>2853147</v>
      </c>
      <c r="H158" s="274">
        <f>+H161+H162+H163+H165+H167+H169</f>
        <v>561324</v>
      </c>
      <c r="I158" s="274"/>
      <c r="J158" s="274"/>
      <c r="K158" s="335"/>
    </row>
    <row r="159" spans="1:11" s="53" customFormat="1" ht="12.75">
      <c r="A159" s="288"/>
      <c r="B159" s="292">
        <v>85202</v>
      </c>
      <c r="C159" s="293" t="s">
        <v>321</v>
      </c>
      <c r="D159" s="293">
        <f>+D160</f>
        <v>147624</v>
      </c>
      <c r="E159" s="275">
        <f t="shared" si="13"/>
        <v>196800</v>
      </c>
      <c r="F159" s="294">
        <f t="shared" si="11"/>
        <v>133.31165664119655</v>
      </c>
      <c r="G159" s="275">
        <f>+G160</f>
        <v>196800</v>
      </c>
      <c r="H159" s="275"/>
      <c r="I159" s="275"/>
      <c r="J159" s="275"/>
      <c r="K159" s="303"/>
    </row>
    <row r="160" spans="1:11" s="53" customFormat="1" ht="12.75">
      <c r="A160" s="288"/>
      <c r="B160" s="289"/>
      <c r="C160" s="290" t="s">
        <v>322</v>
      </c>
      <c r="D160" s="290">
        <v>147624</v>
      </c>
      <c r="E160" s="197">
        <f t="shared" si="13"/>
        <v>196800</v>
      </c>
      <c r="F160" s="291">
        <f t="shared" si="11"/>
        <v>133.31165664119655</v>
      </c>
      <c r="G160" s="197">
        <v>196800</v>
      </c>
      <c r="H160" s="197"/>
      <c r="I160" s="197"/>
      <c r="J160" s="197"/>
      <c r="K160" s="273"/>
    </row>
    <row r="161" spans="1:11" s="53" customFormat="1" ht="12.75">
      <c r="A161" s="288"/>
      <c r="B161" s="292">
        <v>85214</v>
      </c>
      <c r="C161" s="293" t="s">
        <v>341</v>
      </c>
      <c r="D161" s="293">
        <v>485597</v>
      </c>
      <c r="E161" s="275">
        <f t="shared" si="13"/>
        <v>476000</v>
      </c>
      <c r="F161" s="294">
        <f t="shared" si="11"/>
        <v>98.0236698332156</v>
      </c>
      <c r="G161" s="275">
        <v>476000</v>
      </c>
      <c r="H161" s="275"/>
      <c r="I161" s="275"/>
      <c r="J161" s="275"/>
      <c r="K161" s="303"/>
    </row>
    <row r="162" spans="1:11" s="53" customFormat="1" ht="12.75">
      <c r="A162" s="288"/>
      <c r="B162" s="292">
        <v>85215</v>
      </c>
      <c r="C162" s="293" t="s">
        <v>342</v>
      </c>
      <c r="D162" s="293">
        <v>600000</v>
      </c>
      <c r="E162" s="275">
        <f t="shared" si="13"/>
        <v>500000</v>
      </c>
      <c r="F162" s="294">
        <f t="shared" si="11"/>
        <v>83.33333333333334</v>
      </c>
      <c r="G162" s="275">
        <v>500000</v>
      </c>
      <c r="H162" s="275"/>
      <c r="I162" s="275"/>
      <c r="J162" s="275"/>
      <c r="K162" s="303"/>
    </row>
    <row r="163" spans="1:11" s="53" customFormat="1" ht="12.75">
      <c r="A163" s="288"/>
      <c r="B163" s="292">
        <v>85219</v>
      </c>
      <c r="C163" s="293" t="s">
        <v>343</v>
      </c>
      <c r="D163" s="293">
        <f>+D164</f>
        <v>571095</v>
      </c>
      <c r="E163" s="275">
        <f t="shared" si="13"/>
        <v>697897</v>
      </c>
      <c r="F163" s="294">
        <f t="shared" si="11"/>
        <v>122.20331118290302</v>
      </c>
      <c r="G163" s="275">
        <f>+G164</f>
        <v>697897</v>
      </c>
      <c r="H163" s="275">
        <f>+H164</f>
        <v>561324</v>
      </c>
      <c r="I163" s="275"/>
      <c r="J163" s="275"/>
      <c r="K163" s="303"/>
    </row>
    <row r="164" spans="1:11" s="53" customFormat="1" ht="12.75">
      <c r="A164" s="288"/>
      <c r="B164" s="289"/>
      <c r="C164" s="290" t="s">
        <v>344</v>
      </c>
      <c r="D164" s="290">
        <v>571095</v>
      </c>
      <c r="E164" s="197">
        <f t="shared" si="13"/>
        <v>697897</v>
      </c>
      <c r="F164" s="291">
        <f t="shared" si="11"/>
        <v>122.20331118290302</v>
      </c>
      <c r="G164" s="197">
        <v>697897</v>
      </c>
      <c r="H164" s="197">
        <f>438604+31500+70434+11186+9600</f>
        <v>561324</v>
      </c>
      <c r="I164" s="197"/>
      <c r="J164" s="197"/>
      <c r="K164" s="273"/>
    </row>
    <row r="165" spans="1:11" s="53" customFormat="1" ht="12.75">
      <c r="A165" s="288"/>
      <c r="B165" s="292">
        <v>85220</v>
      </c>
      <c r="C165" s="293" t="s">
        <v>456</v>
      </c>
      <c r="D165" s="293">
        <f>+D166</f>
        <v>10511</v>
      </c>
      <c r="E165" s="275">
        <f t="shared" si="13"/>
        <v>4200</v>
      </c>
      <c r="F165" s="294">
        <f t="shared" si="11"/>
        <v>39.95813909237941</v>
      </c>
      <c r="G165" s="275">
        <f>+G166</f>
        <v>4200</v>
      </c>
      <c r="H165" s="275"/>
      <c r="I165" s="275"/>
      <c r="J165" s="275"/>
      <c r="K165" s="303"/>
    </row>
    <row r="166" spans="1:11" s="53" customFormat="1" ht="12.75">
      <c r="A166" s="288"/>
      <c r="B166" s="289"/>
      <c r="C166" s="290" t="s">
        <v>457</v>
      </c>
      <c r="D166" s="290">
        <v>10511</v>
      </c>
      <c r="E166" s="197">
        <f t="shared" si="13"/>
        <v>4200</v>
      </c>
      <c r="F166" s="291">
        <f t="shared" si="11"/>
        <v>39.95813909237941</v>
      </c>
      <c r="G166" s="197">
        <v>4200</v>
      </c>
      <c r="H166" s="197"/>
      <c r="I166" s="197"/>
      <c r="J166" s="197"/>
      <c r="K166" s="273"/>
    </row>
    <row r="167" spans="1:11" s="53" customFormat="1" ht="12.75">
      <c r="A167" s="288"/>
      <c r="B167" s="292">
        <v>85228</v>
      </c>
      <c r="C167" s="293" t="s">
        <v>345</v>
      </c>
      <c r="D167" s="293">
        <f>+D168</f>
        <v>620450</v>
      </c>
      <c r="E167" s="275">
        <f t="shared" si="13"/>
        <v>738250</v>
      </c>
      <c r="F167" s="294">
        <f t="shared" si="11"/>
        <v>118.98621967926506</v>
      </c>
      <c r="G167" s="275">
        <f>+G168</f>
        <v>738250</v>
      </c>
      <c r="H167" s="275">
        <f>+H168</f>
        <v>0</v>
      </c>
      <c r="I167" s="275"/>
      <c r="J167" s="275"/>
      <c r="K167" s="303"/>
    </row>
    <row r="168" spans="1:11" s="53" customFormat="1" ht="12.75">
      <c r="A168" s="288"/>
      <c r="B168" s="289"/>
      <c r="C168" s="290" t="s">
        <v>346</v>
      </c>
      <c r="D168" s="290">
        <v>620450</v>
      </c>
      <c r="E168" s="197">
        <f t="shared" si="13"/>
        <v>738250</v>
      </c>
      <c r="F168" s="291">
        <f t="shared" si="11"/>
        <v>118.98621967926506</v>
      </c>
      <c r="G168" s="197">
        <v>738250</v>
      </c>
      <c r="H168" s="197"/>
      <c r="I168" s="197"/>
      <c r="J168" s="197"/>
      <c r="K168" s="273"/>
    </row>
    <row r="169" spans="1:11" s="53" customFormat="1" ht="12.75">
      <c r="A169" s="288"/>
      <c r="B169" s="292">
        <v>85295</v>
      </c>
      <c r="C169" s="293" t="s">
        <v>264</v>
      </c>
      <c r="D169" s="293">
        <f>+D170</f>
        <v>418263</v>
      </c>
      <c r="E169" s="275">
        <f t="shared" si="13"/>
        <v>240000</v>
      </c>
      <c r="F169" s="294">
        <f t="shared" si="11"/>
        <v>57.38016511142511</v>
      </c>
      <c r="G169" s="275">
        <f>+G170</f>
        <v>240000</v>
      </c>
      <c r="H169" s="275"/>
      <c r="I169" s="275"/>
      <c r="J169" s="275"/>
      <c r="K169" s="303"/>
    </row>
    <row r="170" spans="1:11" s="53" customFormat="1" ht="12.75">
      <c r="A170" s="354"/>
      <c r="B170" s="359"/>
      <c r="C170" s="360" t="s">
        <v>347</v>
      </c>
      <c r="D170" s="360">
        <v>418263</v>
      </c>
      <c r="E170" s="194">
        <f t="shared" si="13"/>
        <v>240000</v>
      </c>
      <c r="F170" s="265">
        <f t="shared" si="11"/>
        <v>57.38016511142511</v>
      </c>
      <c r="G170" s="194">
        <f>175000+65000</f>
        <v>240000</v>
      </c>
      <c r="H170" s="194"/>
      <c r="I170" s="194"/>
      <c r="J170" s="194"/>
      <c r="K170" s="267"/>
    </row>
    <row r="171" spans="1:11" s="53" customFormat="1" ht="15">
      <c r="A171" s="346">
        <v>854</v>
      </c>
      <c r="B171" s="347"/>
      <c r="C171" s="348" t="s">
        <v>325</v>
      </c>
      <c r="D171" s="348" t="e">
        <f>+D172+D180+#REF!+D182</f>
        <v>#REF!</v>
      </c>
      <c r="E171" s="274">
        <f t="shared" si="13"/>
        <v>465000</v>
      </c>
      <c r="F171" s="313" t="e">
        <f t="shared" si="11"/>
        <v>#REF!</v>
      </c>
      <c r="G171" s="274">
        <f>+G172+G180+G182</f>
        <v>465000</v>
      </c>
      <c r="H171" s="274">
        <f>+H172+H180+H182</f>
        <v>348750</v>
      </c>
      <c r="I171" s="274"/>
      <c r="J171" s="349"/>
      <c r="K171" s="335"/>
    </row>
    <row r="172" spans="1:11" s="53" customFormat="1" ht="12.75">
      <c r="A172" s="302"/>
      <c r="B172" s="292">
        <v>85401</v>
      </c>
      <c r="C172" s="293" t="s">
        <v>326</v>
      </c>
      <c r="D172" s="293">
        <f>SUM(D174:D179)</f>
        <v>325307</v>
      </c>
      <c r="E172" s="275">
        <f t="shared" si="13"/>
        <v>381000</v>
      </c>
      <c r="F172" s="294">
        <f t="shared" si="11"/>
        <v>117.12013574869277</v>
      </c>
      <c r="G172" s="275">
        <f>SUM(G174:G179)</f>
        <v>381000</v>
      </c>
      <c r="H172" s="275">
        <f>SUM(H174:H179)</f>
        <v>348750</v>
      </c>
      <c r="I172" s="275"/>
      <c r="J172" s="275"/>
      <c r="K172" s="303"/>
    </row>
    <row r="173" spans="1:11" s="53" customFormat="1" ht="12.75">
      <c r="A173" s="288"/>
      <c r="B173" s="289"/>
      <c r="C173" s="290" t="s">
        <v>299</v>
      </c>
      <c r="D173" s="290">
        <v>0</v>
      </c>
      <c r="E173" s="197">
        <f t="shared" si="13"/>
        <v>0</v>
      </c>
      <c r="F173" s="291"/>
      <c r="G173" s="197"/>
      <c r="H173" s="197"/>
      <c r="I173" s="197"/>
      <c r="J173" s="197"/>
      <c r="K173" s="273"/>
    </row>
    <row r="174" spans="1:11" s="53" customFormat="1" ht="12.75">
      <c r="A174" s="288"/>
      <c r="B174" s="289"/>
      <c r="C174" s="270" t="s">
        <v>327</v>
      </c>
      <c r="D174" s="270">
        <v>25649</v>
      </c>
      <c r="E174" s="271">
        <f t="shared" si="13"/>
        <v>28874</v>
      </c>
      <c r="F174" s="272">
        <f t="shared" si="11"/>
        <v>112.57358961363015</v>
      </c>
      <c r="G174" s="271">
        <v>28874</v>
      </c>
      <c r="H174" s="197">
        <f>21325+1510+4083+560</f>
        <v>27478</v>
      </c>
      <c r="I174" s="197"/>
      <c r="J174" s="197"/>
      <c r="K174" s="273"/>
    </row>
    <row r="175" spans="1:11" s="53" customFormat="1" ht="12.75">
      <c r="A175" s="288"/>
      <c r="B175" s="289"/>
      <c r="C175" s="270" t="s">
        <v>328</v>
      </c>
      <c r="D175" s="270">
        <v>30367</v>
      </c>
      <c r="E175" s="271">
        <f t="shared" si="13"/>
        <v>49895</v>
      </c>
      <c r="F175" s="272">
        <f t="shared" si="11"/>
        <v>164.3066486646689</v>
      </c>
      <c r="G175" s="271">
        <v>49895</v>
      </c>
      <c r="H175" s="197">
        <v>43560</v>
      </c>
      <c r="I175" s="197"/>
      <c r="J175" s="197"/>
      <c r="K175" s="273"/>
    </row>
    <row r="176" spans="1:11" s="53" customFormat="1" ht="12.75">
      <c r="A176" s="288"/>
      <c r="B176" s="289"/>
      <c r="C176" s="270" t="s">
        <v>329</v>
      </c>
      <c r="D176" s="270">
        <v>86977</v>
      </c>
      <c r="E176" s="271">
        <f t="shared" si="13"/>
        <v>90257</v>
      </c>
      <c r="F176" s="272">
        <f t="shared" si="11"/>
        <v>103.7711119031468</v>
      </c>
      <c r="G176" s="271">
        <v>90257</v>
      </c>
      <c r="H176" s="197">
        <v>84873</v>
      </c>
      <c r="I176" s="197"/>
      <c r="J176" s="197"/>
      <c r="K176" s="273"/>
    </row>
    <row r="177" spans="1:11" s="53" customFormat="1" ht="12.75">
      <c r="A177" s="288"/>
      <c r="B177" s="289"/>
      <c r="C177" s="270" t="s">
        <v>330</v>
      </c>
      <c r="D177" s="270">
        <v>102893</v>
      </c>
      <c r="E177" s="271">
        <f t="shared" si="13"/>
        <v>113755</v>
      </c>
      <c r="F177" s="272">
        <f t="shared" si="11"/>
        <v>110.55659763054824</v>
      </c>
      <c r="G177" s="271">
        <v>113755</v>
      </c>
      <c r="H177" s="197">
        <v>105882</v>
      </c>
      <c r="I177" s="197"/>
      <c r="J177" s="197"/>
      <c r="K177" s="273"/>
    </row>
    <row r="178" spans="1:11" s="53" customFormat="1" ht="12.75">
      <c r="A178" s="288"/>
      <c r="B178" s="289"/>
      <c r="C178" s="270" t="s">
        <v>331</v>
      </c>
      <c r="D178" s="270">
        <v>56901</v>
      </c>
      <c r="E178" s="271">
        <f t="shared" si="13"/>
        <v>74043</v>
      </c>
      <c r="F178" s="272">
        <f t="shared" si="11"/>
        <v>130.12600833025783</v>
      </c>
      <c r="G178" s="271">
        <v>74043</v>
      </c>
      <c r="H178" s="197">
        <v>65630</v>
      </c>
      <c r="I178" s="197"/>
      <c r="J178" s="197"/>
      <c r="K178" s="273"/>
    </row>
    <row r="179" spans="1:11" s="53" customFormat="1" ht="12.75">
      <c r="A179" s="377"/>
      <c r="B179" s="378"/>
      <c r="C179" s="379" t="s">
        <v>332</v>
      </c>
      <c r="D179" s="379">
        <v>22520</v>
      </c>
      <c r="E179" s="380">
        <f t="shared" si="13"/>
        <v>24176</v>
      </c>
      <c r="F179" s="381">
        <f t="shared" si="11"/>
        <v>107.35346358792184</v>
      </c>
      <c r="G179" s="380">
        <v>24176</v>
      </c>
      <c r="H179" s="382">
        <v>21327</v>
      </c>
      <c r="I179" s="382"/>
      <c r="J179" s="382"/>
      <c r="K179" s="383"/>
    </row>
    <row r="180" spans="1:11" s="53" customFormat="1" ht="12.75">
      <c r="A180" s="354"/>
      <c r="B180" s="366">
        <v>85412</v>
      </c>
      <c r="C180" s="363" t="s">
        <v>333</v>
      </c>
      <c r="D180" s="363">
        <f>+D181</f>
        <v>75000</v>
      </c>
      <c r="E180" s="372">
        <f t="shared" si="13"/>
        <v>75000</v>
      </c>
      <c r="F180" s="373">
        <f t="shared" si="11"/>
        <v>100</v>
      </c>
      <c r="G180" s="372">
        <f>+G181</f>
        <v>75000</v>
      </c>
      <c r="H180" s="328"/>
      <c r="I180" s="328"/>
      <c r="J180" s="328"/>
      <c r="K180" s="330"/>
    </row>
    <row r="181" spans="1:11" s="53" customFormat="1" ht="12.75">
      <c r="A181" s="354"/>
      <c r="B181" s="359"/>
      <c r="C181" s="360" t="s">
        <v>334</v>
      </c>
      <c r="D181" s="360">
        <v>75000</v>
      </c>
      <c r="E181" s="194">
        <f t="shared" si="13"/>
        <v>75000</v>
      </c>
      <c r="F181" s="265">
        <f t="shared" si="11"/>
        <v>100</v>
      </c>
      <c r="G181" s="194">
        <v>75000</v>
      </c>
      <c r="H181" s="194"/>
      <c r="I181" s="194"/>
      <c r="J181" s="194"/>
      <c r="K181" s="267"/>
    </row>
    <row r="182" spans="1:18" s="53" customFormat="1" ht="12.75">
      <c r="A182" s="354"/>
      <c r="B182" s="366">
        <v>85495</v>
      </c>
      <c r="C182" s="345" t="s">
        <v>359</v>
      </c>
      <c r="D182" s="345">
        <f>+D183</f>
        <v>9000</v>
      </c>
      <c r="E182" s="328">
        <f t="shared" si="13"/>
        <v>9000</v>
      </c>
      <c r="F182" s="329">
        <f t="shared" si="11"/>
        <v>100</v>
      </c>
      <c r="G182" s="328">
        <f>+G183</f>
        <v>9000</v>
      </c>
      <c r="H182" s="328"/>
      <c r="I182" s="328"/>
      <c r="J182" s="328"/>
      <c r="K182" s="330"/>
      <c r="L182" s="53" t="s">
        <v>527</v>
      </c>
      <c r="M182" s="53" t="s">
        <v>528</v>
      </c>
      <c r="N182" s="53" t="s">
        <v>529</v>
      </c>
      <c r="O182" s="53" t="s">
        <v>530</v>
      </c>
      <c r="P182" s="53" t="s">
        <v>531</v>
      </c>
      <c r="Q182" s="53" t="s">
        <v>532</v>
      </c>
      <c r="R182" s="53" t="s">
        <v>295</v>
      </c>
    </row>
    <row r="183" spans="1:18" s="53" customFormat="1" ht="12.75">
      <c r="A183" s="384"/>
      <c r="B183" s="385"/>
      <c r="C183" s="386" t="s">
        <v>373</v>
      </c>
      <c r="D183" s="386">
        <v>9000</v>
      </c>
      <c r="E183" s="195">
        <f t="shared" si="13"/>
        <v>9000</v>
      </c>
      <c r="F183" s="387">
        <f t="shared" si="11"/>
        <v>100</v>
      </c>
      <c r="G183" s="195">
        <f>SUM(L183:U183)</f>
        <v>9000</v>
      </c>
      <c r="H183" s="195"/>
      <c r="I183" s="195"/>
      <c r="J183" s="195"/>
      <c r="K183" s="388"/>
      <c r="L183" s="53">
        <v>677</v>
      </c>
      <c r="M183" s="53">
        <v>1962</v>
      </c>
      <c r="N183" s="53">
        <v>1159</v>
      </c>
      <c r="O183" s="53">
        <v>2077</v>
      </c>
      <c r="P183" s="53">
        <v>1484</v>
      </c>
      <c r="Q183" s="53">
        <v>1375</v>
      </c>
      <c r="R183" s="53">
        <v>266</v>
      </c>
    </row>
    <row r="184" spans="1:11" s="53" customFormat="1" ht="15">
      <c r="A184" s="346">
        <v>900</v>
      </c>
      <c r="B184" s="347"/>
      <c r="C184" s="348" t="s">
        <v>335</v>
      </c>
      <c r="D184" s="348">
        <f>+D185+D192+D193+D195+D197+D202</f>
        <v>1722500</v>
      </c>
      <c r="E184" s="274">
        <f t="shared" si="13"/>
        <v>7722500</v>
      </c>
      <c r="F184" s="313">
        <f t="shared" si="11"/>
        <v>448.3309143686502</v>
      </c>
      <c r="G184" s="274">
        <f>+G185+G192+G193+G195+G197+G202</f>
        <v>1482500</v>
      </c>
      <c r="H184" s="274">
        <f>+H185+H192+H193+H195+H197+H202</f>
        <v>20000</v>
      </c>
      <c r="I184" s="274"/>
      <c r="J184" s="274"/>
      <c r="K184" s="314">
        <f>+K185+K192+K193+K195+K197+K202</f>
        <v>6240000</v>
      </c>
    </row>
    <row r="185" spans="1:11" s="53" customFormat="1" ht="12.75">
      <c r="A185" s="288"/>
      <c r="B185" s="292">
        <v>90001</v>
      </c>
      <c r="C185" s="293" t="s">
        <v>336</v>
      </c>
      <c r="D185" s="293">
        <f>SUM(D186:D189)</f>
        <v>260000</v>
      </c>
      <c r="E185" s="275">
        <f t="shared" si="13"/>
        <v>6160000</v>
      </c>
      <c r="F185" s="294">
        <f t="shared" si="11"/>
        <v>2369.2307692307695</v>
      </c>
      <c r="G185" s="275">
        <f>SUM(G186:G188)</f>
        <v>160000</v>
      </c>
      <c r="H185" s="275"/>
      <c r="I185" s="275"/>
      <c r="J185" s="275"/>
      <c r="K185" s="303">
        <f>+K189</f>
        <v>6000000</v>
      </c>
    </row>
    <row r="186" spans="1:11" s="53" customFormat="1" ht="12.75">
      <c r="A186" s="288"/>
      <c r="B186" s="289"/>
      <c r="C186" s="290" t="s">
        <v>337</v>
      </c>
      <c r="D186" s="290">
        <v>70000</v>
      </c>
      <c r="E186" s="197">
        <f t="shared" si="13"/>
        <v>50000</v>
      </c>
      <c r="F186" s="291">
        <f t="shared" si="11"/>
        <v>71.42857142857143</v>
      </c>
      <c r="G186" s="197">
        <f>100000-50000</f>
        <v>50000</v>
      </c>
      <c r="H186" s="197"/>
      <c r="I186" s="197"/>
      <c r="J186" s="197"/>
      <c r="K186" s="273"/>
    </row>
    <row r="187" spans="1:11" s="53" customFormat="1" ht="12.75">
      <c r="A187" s="288"/>
      <c r="B187" s="289"/>
      <c r="C187" s="290" t="s">
        <v>338</v>
      </c>
      <c r="D187" s="290">
        <v>30000</v>
      </c>
      <c r="E187" s="197">
        <f t="shared" si="13"/>
        <v>50000</v>
      </c>
      <c r="F187" s="291">
        <f t="shared" si="11"/>
        <v>166.66666666666669</v>
      </c>
      <c r="G187" s="197">
        <f>80000-30000</f>
        <v>50000</v>
      </c>
      <c r="H187" s="197"/>
      <c r="I187" s="197"/>
      <c r="J187" s="197"/>
      <c r="K187" s="273"/>
    </row>
    <row r="188" spans="1:11" s="53" customFormat="1" ht="12.75">
      <c r="A188" s="288"/>
      <c r="B188" s="289"/>
      <c r="C188" s="290" t="s">
        <v>339</v>
      </c>
      <c r="D188" s="290">
        <f>50000+10000</f>
        <v>60000</v>
      </c>
      <c r="E188" s="197">
        <f t="shared" si="13"/>
        <v>60000</v>
      </c>
      <c r="F188" s="291">
        <f t="shared" si="11"/>
        <v>100</v>
      </c>
      <c r="G188" s="197">
        <v>60000</v>
      </c>
      <c r="H188" s="197"/>
      <c r="I188" s="197"/>
      <c r="J188" s="197"/>
      <c r="K188" s="273"/>
    </row>
    <row r="189" spans="1:11" s="53" customFormat="1" ht="12.75">
      <c r="A189" s="288"/>
      <c r="B189" s="289"/>
      <c r="C189" s="293" t="s">
        <v>388</v>
      </c>
      <c r="D189" s="293">
        <f>SUM(D190:D191)</f>
        <v>100000</v>
      </c>
      <c r="E189" s="293">
        <f>SUM(E190:E191)</f>
        <v>6000000</v>
      </c>
      <c r="F189" s="291">
        <f t="shared" si="11"/>
        <v>6000</v>
      </c>
      <c r="G189" s="197"/>
      <c r="H189" s="197"/>
      <c r="I189" s="197"/>
      <c r="J189" s="197"/>
      <c r="K189" s="303">
        <f>SUM(K190:K191)</f>
        <v>6000000</v>
      </c>
    </row>
    <row r="190" spans="1:11" s="53" customFormat="1" ht="12.75">
      <c r="A190" s="288"/>
      <c r="B190" s="289"/>
      <c r="C190" s="389" t="s">
        <v>510</v>
      </c>
      <c r="D190" s="389"/>
      <c r="E190" s="308">
        <f>+G190+K190</f>
        <v>2000000</v>
      </c>
      <c r="F190" s="309"/>
      <c r="G190" s="308"/>
      <c r="H190" s="308"/>
      <c r="I190" s="308"/>
      <c r="J190" s="308"/>
      <c r="K190" s="310">
        <v>2000000</v>
      </c>
    </row>
    <row r="191" spans="1:11" s="53" customFormat="1" ht="12.75">
      <c r="A191" s="288"/>
      <c r="B191" s="289"/>
      <c r="C191" s="389" t="s">
        <v>340</v>
      </c>
      <c r="D191" s="389">
        <v>100000</v>
      </c>
      <c r="E191" s="308">
        <f>+G191+K191</f>
        <v>4000000</v>
      </c>
      <c r="F191" s="309">
        <f t="shared" si="11"/>
        <v>4000</v>
      </c>
      <c r="G191" s="308"/>
      <c r="H191" s="308"/>
      <c r="I191" s="308"/>
      <c r="J191" s="308"/>
      <c r="K191" s="310">
        <f>5000000-1000000</f>
        <v>4000000</v>
      </c>
    </row>
    <row r="192" spans="1:11" s="53" customFormat="1" ht="12.75">
      <c r="A192" s="288"/>
      <c r="B192" s="292">
        <v>90003</v>
      </c>
      <c r="C192" s="293" t="s">
        <v>348</v>
      </c>
      <c r="D192" s="293">
        <v>95000</v>
      </c>
      <c r="E192" s="275">
        <f>+G192+K192</f>
        <v>120000</v>
      </c>
      <c r="F192" s="294">
        <f t="shared" si="11"/>
        <v>126.3157894736842</v>
      </c>
      <c r="G192" s="275">
        <v>120000</v>
      </c>
      <c r="H192" s="275"/>
      <c r="I192" s="275"/>
      <c r="J192" s="275"/>
      <c r="K192" s="303"/>
    </row>
    <row r="193" spans="1:11" s="53" customFormat="1" ht="12.75">
      <c r="A193" s="288"/>
      <c r="B193" s="292">
        <v>90004</v>
      </c>
      <c r="C193" s="293" t="s">
        <v>349</v>
      </c>
      <c r="D193" s="293">
        <f>+D194</f>
        <v>268000</v>
      </c>
      <c r="E193" s="275">
        <f>+G193+K193</f>
        <v>85000</v>
      </c>
      <c r="F193" s="294">
        <f aca="true" t="shared" si="14" ref="F193:F240">+E193/D193*100</f>
        <v>31.716417910447763</v>
      </c>
      <c r="G193" s="275">
        <f>+G194</f>
        <v>85000</v>
      </c>
      <c r="H193" s="275"/>
      <c r="I193" s="275"/>
      <c r="J193" s="275"/>
      <c r="K193" s="303"/>
    </row>
    <row r="194" spans="1:11" s="53" customFormat="1" ht="12.75">
      <c r="A194" s="288"/>
      <c r="B194" s="292"/>
      <c r="C194" s="290" t="s">
        <v>498</v>
      </c>
      <c r="D194" s="290">
        <v>268000</v>
      </c>
      <c r="E194" s="275">
        <f>+G194</f>
        <v>85000</v>
      </c>
      <c r="F194" s="294"/>
      <c r="G194" s="197">
        <f>35000+50000</f>
        <v>85000</v>
      </c>
      <c r="H194" s="275"/>
      <c r="I194" s="275"/>
      <c r="J194" s="275"/>
      <c r="K194" s="303"/>
    </row>
    <row r="195" spans="1:11" s="53" customFormat="1" ht="12.75">
      <c r="A195" s="288"/>
      <c r="B195" s="292">
        <v>90013</v>
      </c>
      <c r="C195" s="293" t="s">
        <v>350</v>
      </c>
      <c r="D195" s="293">
        <f>+D196</f>
        <v>35000</v>
      </c>
      <c r="E195" s="275">
        <f aca="true" t="shared" si="15" ref="E195:E235">+G195+K195</f>
        <v>35000</v>
      </c>
      <c r="F195" s="294">
        <f t="shared" si="14"/>
        <v>100</v>
      </c>
      <c r="G195" s="275">
        <f>+G196</f>
        <v>35000</v>
      </c>
      <c r="H195" s="275"/>
      <c r="I195" s="275"/>
      <c r="J195" s="275"/>
      <c r="K195" s="303"/>
    </row>
    <row r="196" spans="1:11" s="53" customFormat="1" ht="12.75">
      <c r="A196" s="288"/>
      <c r="B196" s="289"/>
      <c r="C196" s="290" t="s">
        <v>351</v>
      </c>
      <c r="D196" s="290">
        <v>35000</v>
      </c>
      <c r="E196" s="197">
        <f t="shared" si="15"/>
        <v>35000</v>
      </c>
      <c r="F196" s="291">
        <f t="shared" si="14"/>
        <v>100</v>
      </c>
      <c r="G196" s="197">
        <v>35000</v>
      </c>
      <c r="H196" s="197"/>
      <c r="I196" s="197"/>
      <c r="J196" s="197"/>
      <c r="K196" s="273"/>
    </row>
    <row r="197" spans="1:11" s="53" customFormat="1" ht="12.75">
      <c r="A197" s="288"/>
      <c r="B197" s="292">
        <v>90015</v>
      </c>
      <c r="C197" s="293" t="s">
        <v>352</v>
      </c>
      <c r="D197" s="293">
        <f>SUM(D198:D199,D200)</f>
        <v>1000000</v>
      </c>
      <c r="E197" s="275">
        <f t="shared" si="15"/>
        <v>1200000</v>
      </c>
      <c r="F197" s="294">
        <f t="shared" si="14"/>
        <v>120</v>
      </c>
      <c r="G197" s="275">
        <f>SUM(G198:G199)</f>
        <v>1000000</v>
      </c>
      <c r="H197" s="275"/>
      <c r="I197" s="275"/>
      <c r="J197" s="275"/>
      <c r="K197" s="303">
        <f>SUM(K198:K200)</f>
        <v>200000</v>
      </c>
    </row>
    <row r="198" spans="1:11" s="53" customFormat="1" ht="12.75">
      <c r="A198" s="288"/>
      <c r="B198" s="289"/>
      <c r="C198" s="290" t="s">
        <v>353</v>
      </c>
      <c r="D198" s="290">
        <v>900000</v>
      </c>
      <c r="E198" s="197">
        <f t="shared" si="15"/>
        <v>950000</v>
      </c>
      <c r="F198" s="291">
        <f t="shared" si="14"/>
        <v>105.55555555555556</v>
      </c>
      <c r="G198" s="197">
        <v>950000</v>
      </c>
      <c r="H198" s="197"/>
      <c r="I198" s="197"/>
      <c r="J198" s="197"/>
      <c r="K198" s="273"/>
    </row>
    <row r="199" spans="1:11" s="53" customFormat="1" ht="12.75">
      <c r="A199" s="354"/>
      <c r="B199" s="359"/>
      <c r="C199" s="360" t="s">
        <v>354</v>
      </c>
      <c r="D199" s="360">
        <v>100000</v>
      </c>
      <c r="E199" s="194">
        <f t="shared" si="15"/>
        <v>50000</v>
      </c>
      <c r="F199" s="265">
        <f t="shared" si="14"/>
        <v>50</v>
      </c>
      <c r="G199" s="194">
        <v>50000</v>
      </c>
      <c r="H199" s="194"/>
      <c r="I199" s="194"/>
      <c r="J199" s="194"/>
      <c r="K199" s="267"/>
    </row>
    <row r="200" spans="1:11" s="53" customFormat="1" ht="12.75">
      <c r="A200" s="354"/>
      <c r="B200" s="359"/>
      <c r="C200" s="345" t="s">
        <v>389</v>
      </c>
      <c r="D200" s="345">
        <f>+D201</f>
        <v>0</v>
      </c>
      <c r="E200" s="328">
        <f t="shared" si="15"/>
        <v>200000</v>
      </c>
      <c r="F200" s="329"/>
      <c r="G200" s="328"/>
      <c r="H200" s="328"/>
      <c r="I200" s="328"/>
      <c r="J200" s="328"/>
      <c r="K200" s="330">
        <f>+K201</f>
        <v>200000</v>
      </c>
    </row>
    <row r="201" spans="1:11" s="53" customFormat="1" ht="12.75">
      <c r="A201" s="354"/>
      <c r="B201" s="359"/>
      <c r="C201" s="364" t="s">
        <v>355</v>
      </c>
      <c r="D201" s="364">
        <v>0</v>
      </c>
      <c r="E201" s="196">
        <f t="shared" si="15"/>
        <v>200000</v>
      </c>
      <c r="F201" s="326">
        <v>0</v>
      </c>
      <c r="G201" s="196"/>
      <c r="H201" s="196"/>
      <c r="I201" s="196"/>
      <c r="J201" s="196"/>
      <c r="K201" s="332">
        <v>200000</v>
      </c>
    </row>
    <row r="202" spans="1:11" s="53" customFormat="1" ht="12.75">
      <c r="A202" s="354"/>
      <c r="B202" s="366">
        <v>90095</v>
      </c>
      <c r="C202" s="345" t="s">
        <v>264</v>
      </c>
      <c r="D202" s="345">
        <f>+D203</f>
        <v>64500</v>
      </c>
      <c r="E202" s="328">
        <f t="shared" si="15"/>
        <v>122500</v>
      </c>
      <c r="F202" s="329">
        <f t="shared" si="14"/>
        <v>189.92248062015506</v>
      </c>
      <c r="G202" s="328">
        <f>SUM(G203:G205)</f>
        <v>82500</v>
      </c>
      <c r="H202" s="328">
        <f>+H203</f>
        <v>20000</v>
      </c>
      <c r="I202" s="328"/>
      <c r="J202" s="328"/>
      <c r="K202" s="330">
        <f>SUM(K203:K204)</f>
        <v>40000</v>
      </c>
    </row>
    <row r="203" spans="1:11" s="53" customFormat="1" ht="12.75">
      <c r="A203" s="354"/>
      <c r="B203" s="366"/>
      <c r="C203" s="360" t="s">
        <v>356</v>
      </c>
      <c r="D203" s="360">
        <v>64500</v>
      </c>
      <c r="E203" s="194">
        <f t="shared" si="15"/>
        <v>82500</v>
      </c>
      <c r="F203" s="265">
        <f t="shared" si="14"/>
        <v>127.90697674418605</v>
      </c>
      <c r="G203" s="194">
        <f>20000+3200+5300+54000</f>
        <v>82500</v>
      </c>
      <c r="H203" s="194">
        <v>20000</v>
      </c>
      <c r="I203" s="194"/>
      <c r="J203" s="194"/>
      <c r="K203" s="267"/>
    </row>
    <row r="204" spans="1:11" s="53" customFormat="1" ht="12.75">
      <c r="A204" s="354"/>
      <c r="B204" s="366"/>
      <c r="C204" s="345" t="s">
        <v>448</v>
      </c>
      <c r="D204" s="360"/>
      <c r="E204" s="328">
        <f t="shared" si="15"/>
        <v>40000</v>
      </c>
      <c r="F204" s="265"/>
      <c r="G204" s="194"/>
      <c r="H204" s="194"/>
      <c r="I204" s="194"/>
      <c r="J204" s="194"/>
      <c r="K204" s="330">
        <f>SUM(K205:K205)</f>
        <v>40000</v>
      </c>
    </row>
    <row r="205" spans="1:11" s="53" customFormat="1" ht="12.75">
      <c r="A205" s="354"/>
      <c r="B205" s="366"/>
      <c r="C205" s="360" t="s">
        <v>449</v>
      </c>
      <c r="D205" s="360"/>
      <c r="E205" s="194">
        <f t="shared" si="15"/>
        <v>40000</v>
      </c>
      <c r="F205" s="265"/>
      <c r="G205" s="194"/>
      <c r="H205" s="194"/>
      <c r="I205" s="194"/>
      <c r="J205" s="194"/>
      <c r="K205" s="267">
        <v>40000</v>
      </c>
    </row>
    <row r="206" spans="1:11" s="53" customFormat="1" ht="15">
      <c r="A206" s="346">
        <v>921</v>
      </c>
      <c r="B206" s="347"/>
      <c r="C206" s="348" t="s">
        <v>357</v>
      </c>
      <c r="D206" s="348">
        <f>+D207+D209+D211+D213+D216</f>
        <v>2452735</v>
      </c>
      <c r="E206" s="274">
        <f t="shared" si="15"/>
        <v>2096036</v>
      </c>
      <c r="F206" s="313">
        <f t="shared" si="14"/>
        <v>85.45709177713859</v>
      </c>
      <c r="G206" s="274">
        <f>+G207+G209+G211+G213+G216</f>
        <v>2096036</v>
      </c>
      <c r="H206" s="274">
        <f>+H207+H209+H211+H213</f>
        <v>0</v>
      </c>
      <c r="I206" s="274">
        <f>+I207+I209+I211+I213</f>
        <v>1076036</v>
      </c>
      <c r="J206" s="274">
        <f>+J207+J209+J211+J213</f>
        <v>0</v>
      </c>
      <c r="K206" s="314">
        <f>+K207+K209+K211+K213</f>
        <v>0</v>
      </c>
    </row>
    <row r="207" spans="1:11" s="53" customFormat="1" ht="12.75">
      <c r="A207" s="288"/>
      <c r="B207" s="292">
        <v>92105</v>
      </c>
      <c r="C207" s="293" t="s">
        <v>358</v>
      </c>
      <c r="D207" s="293">
        <f>SUM(D208:D208)</f>
        <v>18360</v>
      </c>
      <c r="E207" s="275">
        <f t="shared" si="15"/>
        <v>0</v>
      </c>
      <c r="F207" s="294">
        <f t="shared" si="14"/>
        <v>0</v>
      </c>
      <c r="G207" s="275">
        <f>+G208</f>
        <v>0</v>
      </c>
      <c r="H207" s="275">
        <f>+H208</f>
        <v>0</v>
      </c>
      <c r="I207" s="275">
        <f>+I208</f>
        <v>0</v>
      </c>
      <c r="J207" s="275"/>
      <c r="K207" s="303"/>
    </row>
    <row r="208" spans="1:11" s="53" customFormat="1" ht="12.75">
      <c r="A208" s="288"/>
      <c r="B208" s="289"/>
      <c r="C208" s="290" t="s">
        <v>499</v>
      </c>
      <c r="D208" s="290">
        <v>18360</v>
      </c>
      <c r="E208" s="197">
        <f t="shared" si="15"/>
        <v>0</v>
      </c>
      <c r="F208" s="291">
        <f t="shared" si="14"/>
        <v>0</v>
      </c>
      <c r="G208" s="197"/>
      <c r="H208" s="197"/>
      <c r="I208" s="197"/>
      <c r="J208" s="197"/>
      <c r="K208" s="273"/>
    </row>
    <row r="209" spans="1:11" s="53" customFormat="1" ht="12.75">
      <c r="A209" s="304"/>
      <c r="B209" s="315">
        <v>92113</v>
      </c>
      <c r="C209" s="275" t="s">
        <v>446</v>
      </c>
      <c r="D209" s="275">
        <f>+D210</f>
        <v>761000</v>
      </c>
      <c r="E209" s="275">
        <f>+E210</f>
        <v>800000</v>
      </c>
      <c r="F209" s="294">
        <f t="shared" si="14"/>
        <v>105.12483574244416</v>
      </c>
      <c r="G209" s="275">
        <f>+G210</f>
        <v>800000</v>
      </c>
      <c r="H209" s="275"/>
      <c r="I209" s="275">
        <f>+I210</f>
        <v>800000</v>
      </c>
      <c r="J209" s="275"/>
      <c r="K209" s="303"/>
    </row>
    <row r="210" spans="1:11" s="53" customFormat="1" ht="12.75">
      <c r="A210" s="304"/>
      <c r="B210" s="315"/>
      <c r="C210" s="197" t="s">
        <v>630</v>
      </c>
      <c r="D210" s="197">
        <v>761000</v>
      </c>
      <c r="E210" s="197">
        <v>800000</v>
      </c>
      <c r="F210" s="291">
        <v>105.12483574244416</v>
      </c>
      <c r="G210" s="197">
        <v>800000</v>
      </c>
      <c r="H210" s="197"/>
      <c r="I210" s="197">
        <v>800000</v>
      </c>
      <c r="J210" s="275"/>
      <c r="K210" s="303"/>
    </row>
    <row r="211" spans="1:11" s="53" customFormat="1" ht="12.75">
      <c r="A211" s="304"/>
      <c r="B211" s="315">
        <v>92116</v>
      </c>
      <c r="C211" s="275" t="s">
        <v>360</v>
      </c>
      <c r="D211" s="275">
        <f>+D212</f>
        <v>242500</v>
      </c>
      <c r="E211" s="275">
        <f t="shared" si="15"/>
        <v>276036</v>
      </c>
      <c r="F211" s="294">
        <f t="shared" si="14"/>
        <v>113.82927835051547</v>
      </c>
      <c r="G211" s="275">
        <f>+G212</f>
        <v>276036</v>
      </c>
      <c r="H211" s="275">
        <f>+H212</f>
        <v>0</v>
      </c>
      <c r="I211" s="275">
        <f>+I212</f>
        <v>276036</v>
      </c>
      <c r="J211" s="275"/>
      <c r="K211" s="303"/>
    </row>
    <row r="212" spans="1:11" s="53" customFormat="1" ht="12.75">
      <c r="A212" s="304"/>
      <c r="B212" s="305"/>
      <c r="C212" s="197" t="s">
        <v>361</v>
      </c>
      <c r="D212" s="197">
        <v>242500</v>
      </c>
      <c r="E212" s="197">
        <f t="shared" si="15"/>
        <v>276036</v>
      </c>
      <c r="F212" s="291">
        <f t="shared" si="14"/>
        <v>113.82927835051547</v>
      </c>
      <c r="G212" s="197">
        <f>+I212</f>
        <v>276036</v>
      </c>
      <c r="H212" s="197"/>
      <c r="I212" s="197">
        <v>276036</v>
      </c>
      <c r="J212" s="197"/>
      <c r="K212" s="273"/>
    </row>
    <row r="213" spans="1:11" s="53" customFormat="1" ht="12.75">
      <c r="A213" s="304"/>
      <c r="B213" s="315">
        <v>92120</v>
      </c>
      <c r="C213" s="275" t="s">
        <v>362</v>
      </c>
      <c r="D213" s="275">
        <f>SUM(D214:D215)</f>
        <v>1373935</v>
      </c>
      <c r="E213" s="275">
        <f t="shared" si="15"/>
        <v>1000000</v>
      </c>
      <c r="F213" s="294">
        <f t="shared" si="14"/>
        <v>72.78364697019873</v>
      </c>
      <c r="G213" s="275">
        <f>SUM(G215:G215)</f>
        <v>1000000</v>
      </c>
      <c r="H213" s="275"/>
      <c r="I213" s="275"/>
      <c r="J213" s="275"/>
      <c r="K213" s="303">
        <f>SUM(K214:K215)</f>
        <v>0</v>
      </c>
    </row>
    <row r="214" spans="1:11" s="53" customFormat="1" ht="12.75">
      <c r="A214" s="304"/>
      <c r="B214" s="305"/>
      <c r="C214" s="197" t="s">
        <v>500</v>
      </c>
      <c r="D214" s="197">
        <v>73935</v>
      </c>
      <c r="E214" s="197">
        <f t="shared" si="15"/>
        <v>0</v>
      </c>
      <c r="F214" s="291">
        <f t="shared" si="14"/>
        <v>0</v>
      </c>
      <c r="G214" s="197"/>
      <c r="H214" s="197"/>
      <c r="I214" s="197"/>
      <c r="J214" s="197"/>
      <c r="K214" s="273"/>
    </row>
    <row r="215" spans="1:11" s="53" customFormat="1" ht="12.75">
      <c r="A215" s="304"/>
      <c r="B215" s="305"/>
      <c r="C215" s="197" t="s">
        <v>445</v>
      </c>
      <c r="D215" s="197">
        <v>1300000</v>
      </c>
      <c r="E215" s="197">
        <f t="shared" si="15"/>
        <v>1000000</v>
      </c>
      <c r="F215" s="291">
        <f t="shared" si="14"/>
        <v>76.92307692307693</v>
      </c>
      <c r="G215" s="197">
        <f>1500000-500000</f>
        <v>1000000</v>
      </c>
      <c r="H215" s="197"/>
      <c r="I215" s="197"/>
      <c r="J215" s="197"/>
      <c r="K215" s="273"/>
    </row>
    <row r="216" spans="1:11" s="53" customFormat="1" ht="12.75">
      <c r="A216" s="304"/>
      <c r="B216" s="315">
        <v>92195</v>
      </c>
      <c r="C216" s="275" t="s">
        <v>359</v>
      </c>
      <c r="D216" s="275">
        <f>SUM(D217:D217)</f>
        <v>56940</v>
      </c>
      <c r="E216" s="275">
        <f t="shared" si="15"/>
        <v>20000</v>
      </c>
      <c r="F216" s="294">
        <f t="shared" si="14"/>
        <v>35.12469265893923</v>
      </c>
      <c r="G216" s="275">
        <f>+G217</f>
        <v>20000</v>
      </c>
      <c r="H216" s="275"/>
      <c r="I216" s="275"/>
      <c r="J216" s="275"/>
      <c r="K216" s="303"/>
    </row>
    <row r="217" spans="1:11" s="53" customFormat="1" ht="12.75">
      <c r="A217" s="390"/>
      <c r="B217" s="391"/>
      <c r="C217" s="195" t="s">
        <v>387</v>
      </c>
      <c r="D217" s="195">
        <v>56940</v>
      </c>
      <c r="E217" s="195">
        <f t="shared" si="15"/>
        <v>20000</v>
      </c>
      <c r="F217" s="387">
        <f t="shared" si="14"/>
        <v>35.12469265893923</v>
      </c>
      <c r="G217" s="195">
        <v>20000</v>
      </c>
      <c r="H217" s="195"/>
      <c r="I217" s="195"/>
      <c r="J217" s="195"/>
      <c r="K217" s="388"/>
    </row>
    <row r="218" spans="1:11" s="53" customFormat="1" ht="15">
      <c r="A218" s="311">
        <v>926</v>
      </c>
      <c r="B218" s="312"/>
      <c r="C218" s="274" t="s">
        <v>363</v>
      </c>
      <c r="D218" s="274">
        <f>+D219+D226</f>
        <v>708400</v>
      </c>
      <c r="E218" s="274">
        <f t="shared" si="15"/>
        <v>1903300</v>
      </c>
      <c r="F218" s="313">
        <f t="shared" si="14"/>
        <v>268.67588932806325</v>
      </c>
      <c r="G218" s="274">
        <f>+G219+G226</f>
        <v>753300</v>
      </c>
      <c r="H218" s="274">
        <f>+H219+H226</f>
        <v>0</v>
      </c>
      <c r="I218" s="274">
        <f>+I219+I226</f>
        <v>753300</v>
      </c>
      <c r="J218" s="274"/>
      <c r="K218" s="314">
        <f>+K219+K226</f>
        <v>1150000</v>
      </c>
    </row>
    <row r="219" spans="1:11" s="53" customFormat="1" ht="12.75">
      <c r="A219" s="336"/>
      <c r="B219" s="315">
        <v>92601</v>
      </c>
      <c r="C219" s="275" t="s">
        <v>364</v>
      </c>
      <c r="D219" s="275">
        <f>+D220+D221</f>
        <v>319400</v>
      </c>
      <c r="E219" s="275">
        <f t="shared" si="15"/>
        <v>1506300</v>
      </c>
      <c r="F219" s="294">
        <f t="shared" si="14"/>
        <v>471.60300563556666</v>
      </c>
      <c r="G219" s="275">
        <f>+G220</f>
        <v>356300</v>
      </c>
      <c r="H219" s="275"/>
      <c r="I219" s="275">
        <f>+I220</f>
        <v>356300</v>
      </c>
      <c r="J219" s="275"/>
      <c r="K219" s="303">
        <f>+K221</f>
        <v>1150000</v>
      </c>
    </row>
    <row r="220" spans="1:11" s="53" customFormat="1" ht="12.75">
      <c r="A220" s="304"/>
      <c r="B220" s="305"/>
      <c r="C220" s="197" t="s">
        <v>365</v>
      </c>
      <c r="D220" s="197">
        <v>319400</v>
      </c>
      <c r="E220" s="197">
        <f t="shared" si="15"/>
        <v>356300</v>
      </c>
      <c r="F220" s="291">
        <f t="shared" si="14"/>
        <v>111.55291170945523</v>
      </c>
      <c r="G220" s="197">
        <v>356300</v>
      </c>
      <c r="H220" s="197"/>
      <c r="I220" s="197">
        <f>+G220</f>
        <v>356300</v>
      </c>
      <c r="J220" s="197"/>
      <c r="K220" s="273"/>
    </row>
    <row r="221" spans="1:11" s="53" customFormat="1" ht="12.75">
      <c r="A221" s="304"/>
      <c r="B221" s="305"/>
      <c r="C221" s="392" t="s">
        <v>388</v>
      </c>
      <c r="D221" s="392">
        <f>SUM(D222:D225)</f>
        <v>0</v>
      </c>
      <c r="E221" s="392">
        <f>SUM(E222:E225)</f>
        <v>1150000</v>
      </c>
      <c r="F221" s="291" t="e">
        <f>+E221/D221*100</f>
        <v>#DIV/0!</v>
      </c>
      <c r="G221" s="197"/>
      <c r="H221" s="197"/>
      <c r="I221" s="197"/>
      <c r="J221" s="197"/>
      <c r="K221" s="393">
        <f>SUM(K222:K225)</f>
        <v>1150000</v>
      </c>
    </row>
    <row r="222" spans="1:11" s="53" customFormat="1" ht="12.75">
      <c r="A222" s="304"/>
      <c r="B222" s="305"/>
      <c r="C222" s="197" t="s">
        <v>511</v>
      </c>
      <c r="D222" s="197"/>
      <c r="E222" s="197">
        <f>+G222+K222</f>
        <v>500000</v>
      </c>
      <c r="F222" s="291">
        <v>0</v>
      </c>
      <c r="G222" s="197"/>
      <c r="H222" s="197"/>
      <c r="I222" s="197"/>
      <c r="J222" s="197"/>
      <c r="K222" s="273">
        <f>500000</f>
        <v>500000</v>
      </c>
    </row>
    <row r="223" spans="1:11" s="53" customFormat="1" ht="12.75">
      <c r="A223" s="304"/>
      <c r="B223" s="305"/>
      <c r="C223" s="197" t="s">
        <v>642</v>
      </c>
      <c r="D223" s="197"/>
      <c r="E223" s="197">
        <f>+G223+K223</f>
        <v>50000</v>
      </c>
      <c r="F223" s="291">
        <v>0</v>
      </c>
      <c r="G223" s="197"/>
      <c r="H223" s="197"/>
      <c r="I223" s="197"/>
      <c r="J223" s="197"/>
      <c r="K223" s="273">
        <f>500000-450000</f>
        <v>50000</v>
      </c>
    </row>
    <row r="224" spans="1:11" s="53" customFormat="1" ht="12.75">
      <c r="A224" s="304"/>
      <c r="B224" s="305"/>
      <c r="C224" s="197" t="s">
        <v>513</v>
      </c>
      <c r="D224" s="197"/>
      <c r="E224" s="197">
        <f>+G224+K224</f>
        <v>300000</v>
      </c>
      <c r="F224" s="291">
        <v>0</v>
      </c>
      <c r="G224" s="197"/>
      <c r="H224" s="197"/>
      <c r="I224" s="197"/>
      <c r="J224" s="197"/>
      <c r="K224" s="273">
        <f>500000-200000</f>
        <v>300000</v>
      </c>
    </row>
    <row r="225" spans="1:11" s="53" customFormat="1" ht="12.75">
      <c r="A225" s="304"/>
      <c r="B225" s="305"/>
      <c r="C225" s="197" t="s">
        <v>512</v>
      </c>
      <c r="D225" s="197"/>
      <c r="E225" s="197">
        <f>+G225+K225</f>
        <v>300000</v>
      </c>
      <c r="F225" s="291">
        <v>0</v>
      </c>
      <c r="G225" s="197"/>
      <c r="H225" s="197"/>
      <c r="I225" s="197"/>
      <c r="J225" s="197"/>
      <c r="K225" s="273">
        <f>1000000-700000</f>
        <v>300000</v>
      </c>
    </row>
    <row r="226" spans="1:11" s="53" customFormat="1" ht="12.75">
      <c r="A226" s="336"/>
      <c r="B226" s="315">
        <v>92605</v>
      </c>
      <c r="C226" s="275" t="s">
        <v>366</v>
      </c>
      <c r="D226" s="275">
        <f>SUM(D227:D235)</f>
        <v>389000</v>
      </c>
      <c r="E226" s="275">
        <f t="shared" si="15"/>
        <v>397000</v>
      </c>
      <c r="F226" s="294">
        <f t="shared" si="14"/>
        <v>102.05655526992288</v>
      </c>
      <c r="G226" s="275">
        <f>SUM(G227:G235)</f>
        <v>397000</v>
      </c>
      <c r="H226" s="275">
        <f>SUM(H227:H235)</f>
        <v>0</v>
      </c>
      <c r="I226" s="275">
        <f>SUM(I227:I235)</f>
        <v>397000</v>
      </c>
      <c r="J226" s="275">
        <f>SUM(J227:J235)</f>
        <v>0</v>
      </c>
      <c r="K226" s="303">
        <f>SUM(K227:K235)</f>
        <v>0</v>
      </c>
    </row>
    <row r="227" spans="1:11" s="53" customFormat="1" ht="12.75">
      <c r="A227" s="304"/>
      <c r="B227" s="305"/>
      <c r="C227" s="197" t="s">
        <v>367</v>
      </c>
      <c r="D227" s="197">
        <v>0</v>
      </c>
      <c r="E227" s="197"/>
      <c r="F227" s="291"/>
      <c r="G227" s="197"/>
      <c r="H227" s="197"/>
      <c r="I227" s="197"/>
      <c r="J227" s="197"/>
      <c r="K227" s="273"/>
    </row>
    <row r="228" spans="1:11" s="53" customFormat="1" ht="12.75">
      <c r="A228" s="304"/>
      <c r="B228" s="305"/>
      <c r="C228" s="197" t="s">
        <v>523</v>
      </c>
      <c r="D228" s="197">
        <v>200000</v>
      </c>
      <c r="E228" s="197">
        <f t="shared" si="15"/>
        <v>200000</v>
      </c>
      <c r="F228" s="291">
        <f t="shared" si="14"/>
        <v>100</v>
      </c>
      <c r="G228" s="197">
        <v>200000</v>
      </c>
      <c r="H228" s="197"/>
      <c r="I228" s="197">
        <v>200000</v>
      </c>
      <c r="J228" s="197"/>
      <c r="K228" s="273"/>
    </row>
    <row r="229" spans="1:11" s="53" customFormat="1" ht="12.75">
      <c r="A229" s="304"/>
      <c r="B229" s="305"/>
      <c r="C229" s="197" t="s">
        <v>368</v>
      </c>
      <c r="D229" s="197">
        <v>50000</v>
      </c>
      <c r="E229" s="197">
        <f t="shared" si="15"/>
        <v>50000</v>
      </c>
      <c r="F229" s="291">
        <f t="shared" si="14"/>
        <v>100</v>
      </c>
      <c r="G229" s="197">
        <v>50000</v>
      </c>
      <c r="H229" s="197"/>
      <c r="I229" s="197">
        <v>50000</v>
      </c>
      <c r="J229" s="197"/>
      <c r="K229" s="273"/>
    </row>
    <row r="230" spans="1:11" s="53" customFormat="1" ht="12.75">
      <c r="A230" s="304"/>
      <c r="B230" s="305"/>
      <c r="C230" s="197" t="s">
        <v>429</v>
      </c>
      <c r="D230" s="197">
        <v>45000</v>
      </c>
      <c r="E230" s="197">
        <f t="shared" si="15"/>
        <v>45000</v>
      </c>
      <c r="F230" s="291">
        <f t="shared" si="14"/>
        <v>100</v>
      </c>
      <c r="G230" s="197">
        <v>45000</v>
      </c>
      <c r="H230" s="197"/>
      <c r="I230" s="197">
        <v>45000</v>
      </c>
      <c r="J230" s="197"/>
      <c r="K230" s="273"/>
    </row>
    <row r="231" spans="1:11" s="53" customFormat="1" ht="12.75">
      <c r="A231" s="304"/>
      <c r="B231" s="305"/>
      <c r="C231" s="197" t="s">
        <v>370</v>
      </c>
      <c r="D231" s="197">
        <v>22000</v>
      </c>
      <c r="E231" s="197">
        <f t="shared" si="15"/>
        <v>30000</v>
      </c>
      <c r="F231" s="291">
        <f t="shared" si="14"/>
        <v>136.36363636363635</v>
      </c>
      <c r="G231" s="197">
        <f>22000+8000</f>
        <v>30000</v>
      </c>
      <c r="H231" s="197"/>
      <c r="I231" s="197">
        <f>22000+8000</f>
        <v>30000</v>
      </c>
      <c r="J231" s="197"/>
      <c r="K231" s="273"/>
    </row>
    <row r="232" spans="1:11" s="53" customFormat="1" ht="12.75">
      <c r="A232" s="304"/>
      <c r="B232" s="305"/>
      <c r="C232" s="197" t="s">
        <v>371</v>
      </c>
      <c r="D232" s="197">
        <v>12000</v>
      </c>
      <c r="E232" s="197">
        <f t="shared" si="15"/>
        <v>12000</v>
      </c>
      <c r="F232" s="291">
        <f t="shared" si="14"/>
        <v>100</v>
      </c>
      <c r="G232" s="197">
        <v>12000</v>
      </c>
      <c r="H232" s="197"/>
      <c r="I232" s="197">
        <v>12000</v>
      </c>
      <c r="J232" s="197"/>
      <c r="K232" s="273"/>
    </row>
    <row r="233" spans="1:11" s="53" customFormat="1" ht="12.75">
      <c r="A233" s="304"/>
      <c r="B233" s="305"/>
      <c r="C233" s="197" t="s">
        <v>467</v>
      </c>
      <c r="D233" s="197">
        <v>45000</v>
      </c>
      <c r="E233" s="197">
        <f t="shared" si="15"/>
        <v>45000</v>
      </c>
      <c r="F233" s="291">
        <f t="shared" si="14"/>
        <v>100</v>
      </c>
      <c r="G233" s="197">
        <v>45000</v>
      </c>
      <c r="H233" s="197"/>
      <c r="I233" s="197">
        <v>45000</v>
      </c>
      <c r="J233" s="197"/>
      <c r="K233" s="273"/>
    </row>
    <row r="234" spans="1:11" s="53" customFormat="1" ht="12.75">
      <c r="A234" s="304"/>
      <c r="B234" s="305"/>
      <c r="C234" s="197" t="s">
        <v>372</v>
      </c>
      <c r="D234" s="197">
        <v>10000</v>
      </c>
      <c r="E234" s="197">
        <f t="shared" si="15"/>
        <v>10000</v>
      </c>
      <c r="F234" s="291">
        <f t="shared" si="14"/>
        <v>100</v>
      </c>
      <c r="G234" s="197">
        <v>10000</v>
      </c>
      <c r="H234" s="197"/>
      <c r="I234" s="197">
        <v>10000</v>
      </c>
      <c r="J234" s="197"/>
      <c r="K234" s="273"/>
    </row>
    <row r="235" spans="1:11" s="53" customFormat="1" ht="12.75">
      <c r="A235" s="304"/>
      <c r="B235" s="305"/>
      <c r="C235" s="197" t="s">
        <v>369</v>
      </c>
      <c r="D235" s="197">
        <v>5000</v>
      </c>
      <c r="E235" s="197">
        <f t="shared" si="15"/>
        <v>5000</v>
      </c>
      <c r="F235" s="291">
        <f t="shared" si="14"/>
        <v>100</v>
      </c>
      <c r="G235" s="197">
        <v>5000</v>
      </c>
      <c r="H235" s="197"/>
      <c r="I235" s="197">
        <v>5000</v>
      </c>
      <c r="J235" s="197"/>
      <c r="K235" s="273"/>
    </row>
    <row r="236" spans="1:11" s="53" customFormat="1" ht="15.75" thickBot="1">
      <c r="A236" s="656" t="s">
        <v>502</v>
      </c>
      <c r="B236" s="646"/>
      <c r="C236" s="647"/>
      <c r="D236" s="540" t="e">
        <f>+D8+D13+D35+D64+D75+D85+D88+D97+D106+D149+D158+D171+D184+D206+D218</f>
        <v>#REF!</v>
      </c>
      <c r="E236" s="540">
        <f>+E8+E13+E35+E64+E75+E85+E88+E97+E106+E149+E158+E171+E184+E206+E218</f>
        <v>50874395</v>
      </c>
      <c r="F236" s="541" t="e">
        <f t="shared" si="14"/>
        <v>#REF!</v>
      </c>
      <c r="G236" s="540">
        <f>+G8+G13+G35+G64+G75+G85+G88+G97+G106+G149+G158+G171+G184+G206+G218</f>
        <v>39422192</v>
      </c>
      <c r="H236" s="540">
        <f>+H8+H13+H35+H64+H75+H85+H88+H97+H106+H149+H158+H171+H184+H206+H218</f>
        <v>15408317</v>
      </c>
      <c r="I236" s="540">
        <f>+I8+I13+I35+I64+I75+I85+I88+I97+I106+I149+I158+I171+I184+I206+I218</f>
        <v>4040977</v>
      </c>
      <c r="J236" s="540">
        <f>+J8+J13+J35+J64+J75+J85+J88+J97+J106+J149+J158+J171+J184+J206+J218</f>
        <v>978000</v>
      </c>
      <c r="K236" s="542">
        <f>+K8+K13+K35+K64+K75+K85+K88+K97+K106+K149+K158+K171+K184+K206+K218</f>
        <v>11452203</v>
      </c>
    </row>
    <row r="237" spans="1:11" s="53" customFormat="1" ht="15.75">
      <c r="A237" s="394"/>
      <c r="B237" s="395"/>
      <c r="C237" s="686" t="s">
        <v>374</v>
      </c>
      <c r="D237" s="686"/>
      <c r="E237" s="686"/>
      <c r="F237" s="686"/>
      <c r="G237" s="686"/>
      <c r="H237" s="686"/>
      <c r="I237" s="686"/>
      <c r="J237" s="686"/>
      <c r="K237" s="687"/>
    </row>
    <row r="238" spans="1:11" s="53" customFormat="1" ht="15">
      <c r="A238" s="311">
        <v>750</v>
      </c>
      <c r="B238" s="398"/>
      <c r="C238" s="274" t="s">
        <v>272</v>
      </c>
      <c r="D238" s="349">
        <f>+D239</f>
        <v>120780</v>
      </c>
      <c r="E238" s="349">
        <f>+G238+K238</f>
        <v>125207</v>
      </c>
      <c r="F238" s="399">
        <f t="shared" si="14"/>
        <v>103.66534194403047</v>
      </c>
      <c r="G238" s="274">
        <f>+G239</f>
        <v>125207</v>
      </c>
      <c r="H238" s="274">
        <f>+H239</f>
        <v>125207</v>
      </c>
      <c r="I238" s="274"/>
      <c r="J238" s="274"/>
      <c r="K238" s="335"/>
    </row>
    <row r="239" spans="1:11" s="53" customFormat="1" ht="12.75">
      <c r="A239" s="304"/>
      <c r="B239" s="400">
        <v>75011</v>
      </c>
      <c r="C239" s="275" t="s">
        <v>375</v>
      </c>
      <c r="D239" s="275">
        <f>+D240</f>
        <v>120780</v>
      </c>
      <c r="E239" s="275">
        <f>+G239+K239</f>
        <v>125207</v>
      </c>
      <c r="F239" s="291">
        <f t="shared" si="14"/>
        <v>103.66534194403047</v>
      </c>
      <c r="G239" s="275">
        <f>+G240</f>
        <v>125207</v>
      </c>
      <c r="H239" s="275">
        <f>+H240</f>
        <v>125207</v>
      </c>
      <c r="I239" s="275"/>
      <c r="J239" s="197"/>
      <c r="K239" s="273">
        <f>+K240</f>
        <v>0</v>
      </c>
    </row>
    <row r="240" spans="1:11" s="53" customFormat="1" ht="12.75">
      <c r="A240" s="306"/>
      <c r="B240" s="397"/>
      <c r="C240" s="194" t="s">
        <v>376</v>
      </c>
      <c r="D240" s="194">
        <v>120780</v>
      </c>
      <c r="E240" s="194">
        <f>+G240+K240</f>
        <v>125207</v>
      </c>
      <c r="F240" s="265">
        <f t="shared" si="14"/>
        <v>103.66534194403047</v>
      </c>
      <c r="G240" s="194">
        <v>125207</v>
      </c>
      <c r="H240" s="194">
        <f>+G240</f>
        <v>125207</v>
      </c>
      <c r="I240" s="194"/>
      <c r="J240" s="194"/>
      <c r="K240" s="267"/>
    </row>
    <row r="241" spans="1:11" s="53" customFormat="1" ht="30">
      <c r="A241" s="311">
        <v>751</v>
      </c>
      <c r="B241" s="398"/>
      <c r="C241" s="274" t="s">
        <v>520</v>
      </c>
      <c r="D241" s="274">
        <f>+D242</f>
        <v>3214</v>
      </c>
      <c r="E241" s="274">
        <f>+G241+K241</f>
        <v>3611</v>
      </c>
      <c r="F241" s="399">
        <f aca="true" t="shared" si="16" ref="F241:F255">+E241/D241*100</f>
        <v>112.35220908525203</v>
      </c>
      <c r="G241" s="274">
        <f>+G242</f>
        <v>3611</v>
      </c>
      <c r="H241" s="274">
        <f>+H242</f>
        <v>3611</v>
      </c>
      <c r="I241" s="274"/>
      <c r="J241" s="401"/>
      <c r="K241" s="402"/>
    </row>
    <row r="242" spans="1:11" s="53" customFormat="1" ht="12.75">
      <c r="A242" s="304"/>
      <c r="B242" s="400">
        <v>75101</v>
      </c>
      <c r="C242" s="275" t="s">
        <v>377</v>
      </c>
      <c r="D242" s="275">
        <f>+D243</f>
        <v>3214</v>
      </c>
      <c r="E242" s="275">
        <f>+E243</f>
        <v>3611</v>
      </c>
      <c r="F242" s="291">
        <f t="shared" si="16"/>
        <v>112.35220908525203</v>
      </c>
      <c r="G242" s="275">
        <f>+G243</f>
        <v>3611</v>
      </c>
      <c r="H242" s="275">
        <f>+H243</f>
        <v>3611</v>
      </c>
      <c r="I242" s="275"/>
      <c r="J242" s="197"/>
      <c r="K242" s="273"/>
    </row>
    <row r="243" spans="1:11" s="53" customFormat="1" ht="12.75">
      <c r="A243" s="316"/>
      <c r="B243" s="403"/>
      <c r="C243" s="318" t="s">
        <v>518</v>
      </c>
      <c r="D243" s="318">
        <v>3214</v>
      </c>
      <c r="E243" s="255">
        <f>+G243+K243</f>
        <v>3611</v>
      </c>
      <c r="F243" s="265">
        <f t="shared" si="16"/>
        <v>112.35220908525203</v>
      </c>
      <c r="G243" s="318">
        <v>3611</v>
      </c>
      <c r="H243" s="318">
        <f>+G243</f>
        <v>3611</v>
      </c>
      <c r="I243" s="318"/>
      <c r="J243" s="318"/>
      <c r="K243" s="322"/>
    </row>
    <row r="244" spans="1:11" s="53" customFormat="1" ht="15">
      <c r="A244" s="346">
        <v>754</v>
      </c>
      <c r="B244" s="404"/>
      <c r="C244" s="348" t="s">
        <v>313</v>
      </c>
      <c r="D244" s="274">
        <f>+D245</f>
        <v>1000</v>
      </c>
      <c r="E244" s="274">
        <f>+G244</f>
        <v>1000</v>
      </c>
      <c r="F244" s="357">
        <f t="shared" si="16"/>
        <v>100</v>
      </c>
      <c r="G244" s="274">
        <f>+G245</f>
        <v>1000</v>
      </c>
      <c r="H244" s="274"/>
      <c r="I244" s="274"/>
      <c r="J244" s="349"/>
      <c r="K244" s="335"/>
    </row>
    <row r="245" spans="1:11" s="53" customFormat="1" ht="12.75">
      <c r="A245" s="288"/>
      <c r="B245" s="407">
        <v>75414</v>
      </c>
      <c r="C245" s="293" t="s">
        <v>379</v>
      </c>
      <c r="D245" s="275">
        <f>+D246</f>
        <v>1000</v>
      </c>
      <c r="E245" s="275">
        <f aca="true" t="shared" si="17" ref="E245:E250">+G245+K245</f>
        <v>1000</v>
      </c>
      <c r="F245" s="291">
        <f t="shared" si="16"/>
        <v>100</v>
      </c>
      <c r="G245" s="275">
        <f>+G246</f>
        <v>1000</v>
      </c>
      <c r="H245" s="275"/>
      <c r="I245" s="275"/>
      <c r="J245" s="197"/>
      <c r="K245" s="273"/>
    </row>
    <row r="246" spans="1:11" s="53" customFormat="1" ht="12.75">
      <c r="A246" s="288"/>
      <c r="B246" s="408"/>
      <c r="C246" s="290" t="s">
        <v>378</v>
      </c>
      <c r="D246" s="197">
        <v>1000</v>
      </c>
      <c r="E246" s="197">
        <f t="shared" si="17"/>
        <v>1000</v>
      </c>
      <c r="F246" s="265">
        <f t="shared" si="16"/>
        <v>100</v>
      </c>
      <c r="G246" s="197">
        <v>1000</v>
      </c>
      <c r="H246" s="197"/>
      <c r="I246" s="197"/>
      <c r="J246" s="197"/>
      <c r="K246" s="273"/>
    </row>
    <row r="247" spans="1:11" s="53" customFormat="1" ht="15">
      <c r="A247" s="346">
        <v>852</v>
      </c>
      <c r="B247" s="404"/>
      <c r="C247" s="348" t="s">
        <v>320</v>
      </c>
      <c r="D247" s="274">
        <f>SUM(D248:D250)</f>
        <v>5143440</v>
      </c>
      <c r="E247" s="274">
        <f t="shared" si="17"/>
        <v>4966000</v>
      </c>
      <c r="F247" s="399">
        <f t="shared" si="16"/>
        <v>96.5501687586518</v>
      </c>
      <c r="G247" s="274">
        <f>+G248+G249+G250</f>
        <v>4966000</v>
      </c>
      <c r="H247" s="274">
        <f>+H248+H249+H250</f>
        <v>107662</v>
      </c>
      <c r="I247" s="274"/>
      <c r="J247" s="405"/>
      <c r="K247" s="406"/>
    </row>
    <row r="248" spans="1:11" s="53" customFormat="1" ht="12.75">
      <c r="A248" s="288"/>
      <c r="B248" s="407">
        <v>85212</v>
      </c>
      <c r="C248" s="290" t="s">
        <v>516</v>
      </c>
      <c r="D248" s="197">
        <v>4736000</v>
      </c>
      <c r="E248" s="197">
        <f t="shared" si="17"/>
        <v>4576000</v>
      </c>
      <c r="F248" s="291">
        <f t="shared" si="16"/>
        <v>96.62162162162163</v>
      </c>
      <c r="G248" s="197">
        <v>4576000</v>
      </c>
      <c r="H248" s="197">
        <f>72750+4800+28287+1825</f>
        <v>107662</v>
      </c>
      <c r="I248" s="197"/>
      <c r="J248" s="197"/>
      <c r="K248" s="273"/>
    </row>
    <row r="249" spans="1:11" s="53" customFormat="1" ht="25.5">
      <c r="A249" s="288"/>
      <c r="B249" s="407">
        <v>85213</v>
      </c>
      <c r="C249" s="290" t="s">
        <v>521</v>
      </c>
      <c r="D249" s="197">
        <v>40000</v>
      </c>
      <c r="E249" s="197">
        <f t="shared" si="17"/>
        <v>31000</v>
      </c>
      <c r="F249" s="265">
        <f t="shared" si="16"/>
        <v>77.5</v>
      </c>
      <c r="G249" s="197">
        <v>31000</v>
      </c>
      <c r="H249" s="197"/>
      <c r="I249" s="197"/>
      <c r="J249" s="197"/>
      <c r="K249" s="273"/>
    </row>
    <row r="250" spans="1:11" s="53" customFormat="1" ht="13.5" thickBot="1">
      <c r="A250" s="409"/>
      <c r="B250" s="410">
        <v>85214</v>
      </c>
      <c r="C250" s="411" t="s">
        <v>380</v>
      </c>
      <c r="D250" s="412">
        <v>367440</v>
      </c>
      <c r="E250" s="412">
        <f t="shared" si="17"/>
        <v>359000</v>
      </c>
      <c r="F250" s="413">
        <f t="shared" si="16"/>
        <v>97.70302634443718</v>
      </c>
      <c r="G250" s="412">
        <v>359000</v>
      </c>
      <c r="H250" s="412"/>
      <c r="I250" s="412"/>
      <c r="J250" s="412"/>
      <c r="K250" s="414"/>
    </row>
    <row r="251" spans="1:11" s="53" customFormat="1" ht="15.75" customHeight="1" thickBot="1">
      <c r="A251" s="544"/>
      <c r="B251" s="415"/>
      <c r="C251" s="416"/>
      <c r="D251" s="543" t="s">
        <v>381</v>
      </c>
      <c r="E251" s="543"/>
      <c r="F251" s="543"/>
      <c r="G251" s="543"/>
      <c r="H251" s="543"/>
      <c r="I251" s="543"/>
      <c r="J251" s="543"/>
      <c r="K251" s="545"/>
    </row>
    <row r="252" spans="1:11" s="54" customFormat="1" ht="15">
      <c r="A252" s="417">
        <v>710</v>
      </c>
      <c r="B252" s="418"/>
      <c r="C252" s="419" t="s">
        <v>382</v>
      </c>
      <c r="D252" s="420">
        <f>+D253</f>
        <v>2000</v>
      </c>
      <c r="E252" s="420">
        <f>+G252+K252</f>
        <v>2300</v>
      </c>
      <c r="F252" s="396">
        <f t="shared" si="16"/>
        <v>114.99999999999999</v>
      </c>
      <c r="G252" s="420">
        <f>+G253</f>
        <v>2300</v>
      </c>
      <c r="H252" s="420"/>
      <c r="I252" s="420"/>
      <c r="J252" s="421"/>
      <c r="K252" s="422"/>
    </row>
    <row r="253" spans="1:11" ht="12.75">
      <c r="A253" s="353"/>
      <c r="B253" s="253">
        <v>71035</v>
      </c>
      <c r="C253" s="254" t="s">
        <v>383</v>
      </c>
      <c r="D253" s="193">
        <v>2000</v>
      </c>
      <c r="E253" s="193">
        <f>+G253+K253</f>
        <v>2300</v>
      </c>
      <c r="F253" s="265">
        <f t="shared" si="16"/>
        <v>114.99999999999999</v>
      </c>
      <c r="G253" s="193">
        <v>2300</v>
      </c>
      <c r="H253" s="193"/>
      <c r="I253" s="193"/>
      <c r="J253" s="255"/>
      <c r="K253" s="256"/>
    </row>
    <row r="254" spans="1:11" ht="31.5" customHeight="1" thickBot="1">
      <c r="A254" s="654" t="s">
        <v>501</v>
      </c>
      <c r="B254" s="655"/>
      <c r="C254" s="655"/>
      <c r="D254" s="263" t="e">
        <f>+#REF!+D238+D241+#REF!+D244+D247+D252</f>
        <v>#REF!</v>
      </c>
      <c r="E254" s="263">
        <f>+E238+E241+E244+E247+E252</f>
        <v>5098118</v>
      </c>
      <c r="F254" s="266" t="e">
        <f t="shared" si="16"/>
        <v>#REF!</v>
      </c>
      <c r="G254" s="263">
        <f>+G238+G241+G244+G247+G252</f>
        <v>5098118</v>
      </c>
      <c r="H254" s="263">
        <f>+H238+H241+H244+H247+H252</f>
        <v>236480</v>
      </c>
      <c r="I254" s="263">
        <f>+I238+I241+I244+I247+I252</f>
        <v>0</v>
      </c>
      <c r="J254" s="263">
        <f>J238+J241+J244+J247+J252</f>
        <v>0</v>
      </c>
      <c r="K254" s="264">
        <f>+K238+K241+K244+K247+K252</f>
        <v>0</v>
      </c>
    </row>
    <row r="255" spans="1:11" ht="16.5" thickBot="1">
      <c r="A255" s="548"/>
      <c r="B255" s="546"/>
      <c r="C255" s="547" t="s">
        <v>384</v>
      </c>
      <c r="D255" s="549" t="e">
        <f>+D236+D254</f>
        <v>#REF!</v>
      </c>
      <c r="E255" s="549">
        <f>+E236+E254</f>
        <v>55972513</v>
      </c>
      <c r="F255" s="550" t="e">
        <f t="shared" si="16"/>
        <v>#REF!</v>
      </c>
      <c r="G255" s="549">
        <f>+G236+G254</f>
        <v>44520310</v>
      </c>
      <c r="H255" s="549">
        <f>+H236+H254</f>
        <v>15644797</v>
      </c>
      <c r="I255" s="549">
        <f>+I236+I254</f>
        <v>4040977</v>
      </c>
      <c r="J255" s="549">
        <f>+J236+J254</f>
        <v>978000</v>
      </c>
      <c r="K255" s="551">
        <f>+K236+K254</f>
        <v>11452203</v>
      </c>
    </row>
    <row r="256" spans="3:11" ht="12.75">
      <c r="C256" s="210"/>
      <c r="D256" s="211"/>
      <c r="K256" s="237"/>
    </row>
    <row r="257" ht="12.75">
      <c r="K257" s="5"/>
    </row>
    <row r="258" ht="13.5" thickBot="1">
      <c r="K258" s="5"/>
    </row>
    <row r="259" spans="3:11" ht="12.75">
      <c r="C259" s="199" t="s">
        <v>465</v>
      </c>
      <c r="D259" s="207"/>
      <c r="E259" s="200">
        <v>2600000</v>
      </c>
      <c r="K259" s="5"/>
    </row>
    <row r="260" spans="3:11" ht="12.75">
      <c r="C260" s="202" t="s">
        <v>466</v>
      </c>
      <c r="D260" s="208"/>
      <c r="E260" s="203">
        <f>+E255+E259</f>
        <v>58572513</v>
      </c>
      <c r="G260" s="87">
        <f>+G255+K255-E255</f>
        <v>0</v>
      </c>
      <c r="K260" s="173">
        <f>+K255-K48-K49-K51</f>
        <v>10370000</v>
      </c>
    </row>
    <row r="261" spans="3:11" ht="12.75">
      <c r="C261" s="202" t="s">
        <v>469</v>
      </c>
      <c r="D261" s="204"/>
      <c r="E261" s="203">
        <f>+1!F73</f>
        <v>52572513</v>
      </c>
      <c r="K261" s="5"/>
    </row>
    <row r="262" spans="3:11" ht="12.75">
      <c r="C262" s="423" t="s">
        <v>543</v>
      </c>
      <c r="D262" s="424"/>
      <c r="E262" s="425">
        <v>6000000</v>
      </c>
      <c r="K262" s="5"/>
    </row>
    <row r="263" spans="3:11" ht="13.5" thickBot="1">
      <c r="C263" s="205" t="s">
        <v>544</v>
      </c>
      <c r="D263" s="206"/>
      <c r="E263" s="209">
        <f>+E261-E260+E262</f>
        <v>0</v>
      </c>
      <c r="K263" s="5"/>
    </row>
    <row r="264" spans="4:11" ht="12.75">
      <c r="D264" s="87"/>
      <c r="E264" s="112"/>
      <c r="F264" s="112"/>
      <c r="G264" s="112"/>
      <c r="H264" s="112"/>
      <c r="I264" s="112"/>
      <c r="J264" s="112"/>
      <c r="K264" s="112"/>
    </row>
    <row r="293" ht="20.25" customHeight="1"/>
    <row r="295" ht="25.5" customHeight="1"/>
    <row r="298" ht="55.5" customHeight="1"/>
    <row r="299" spans="1:11" ht="12.75" hidden="1">
      <c r="A299" s="91"/>
      <c r="B299" s="91"/>
      <c r="C299" s="91"/>
      <c r="D299" s="91"/>
      <c r="E299" s="92" t="s">
        <v>25</v>
      </c>
      <c r="F299" s="92"/>
      <c r="G299" s="92" t="s">
        <v>25</v>
      </c>
      <c r="H299" s="92"/>
      <c r="I299" s="92"/>
      <c r="J299" s="92"/>
      <c r="K299" s="92"/>
    </row>
    <row r="302" ht="77.25" customHeight="1"/>
    <row r="305" ht="44.25" customHeight="1"/>
    <row r="306" spans="1:11" ht="12.75">
      <c r="A306" s="89"/>
      <c r="B306" s="89"/>
      <c r="C306" s="89"/>
      <c r="D306" s="89"/>
      <c r="E306" s="90"/>
      <c r="F306" s="90"/>
      <c r="G306" s="90"/>
      <c r="H306" s="90"/>
      <c r="I306" s="90"/>
      <c r="J306" s="90"/>
      <c r="K306" s="90"/>
    </row>
    <row r="307" spans="5:7" ht="28.5" customHeight="1">
      <c r="E307" s="87"/>
      <c r="F307" s="87"/>
      <c r="G307" s="87"/>
    </row>
    <row r="308" spans="5:7" ht="12.75">
      <c r="E308" s="87"/>
      <c r="F308" s="87"/>
      <c r="G308" s="87"/>
    </row>
    <row r="309" spans="5:7" ht="12.75">
      <c r="E309" s="87"/>
      <c r="F309" s="87"/>
      <c r="G309" s="87"/>
    </row>
    <row r="310" spans="5:7" ht="12.75">
      <c r="E310" s="87"/>
      <c r="F310" s="87"/>
      <c r="G310" s="87"/>
    </row>
    <row r="311" spans="5:7" ht="12.75">
      <c r="E311" s="87"/>
      <c r="F311" s="87"/>
      <c r="G311" s="87"/>
    </row>
    <row r="313" spans="5:11" ht="12.75">
      <c r="E313" s="87"/>
      <c r="F313" s="87"/>
      <c r="G313" s="87"/>
      <c r="H313" s="87"/>
      <c r="I313" s="87"/>
      <c r="K313" s="87"/>
    </row>
    <row r="314" spans="5:11" ht="12.75">
      <c r="E314" s="87"/>
      <c r="F314" s="87"/>
      <c r="G314" s="87"/>
      <c r="H314" s="87"/>
      <c r="K314" s="87"/>
    </row>
    <row r="315" spans="5:8" ht="12.75">
      <c r="E315" s="87"/>
      <c r="F315" s="87"/>
      <c r="G315" s="87"/>
      <c r="H315" s="87"/>
    </row>
    <row r="317" spans="5:8" ht="12.75">
      <c r="E317" s="87"/>
      <c r="F317" s="87"/>
      <c r="G317" s="87"/>
      <c r="H317" s="87"/>
    </row>
    <row r="318" spans="5:8" ht="12.75">
      <c r="E318" s="87"/>
      <c r="F318" s="87"/>
      <c r="G318" s="87"/>
      <c r="H318" s="87"/>
    </row>
    <row r="321" spans="5:8" ht="12.75">
      <c r="E321" s="87"/>
      <c r="F321" s="87"/>
      <c r="G321" s="87"/>
      <c r="H321" s="87"/>
    </row>
    <row r="322" spans="5:8" ht="12.75">
      <c r="E322" s="87"/>
      <c r="F322" s="87"/>
      <c r="G322" s="87"/>
      <c r="H322" s="87"/>
    </row>
    <row r="323" spans="5:8" ht="12.75">
      <c r="E323" s="87"/>
      <c r="F323" s="87"/>
      <c r="G323" s="87"/>
      <c r="H323" s="87"/>
    </row>
    <row r="325" spans="5:11" ht="12.75">
      <c r="E325" s="87"/>
      <c r="F325" s="87"/>
      <c r="K325" s="87"/>
    </row>
    <row r="327" spans="5:8" ht="12.75">
      <c r="E327" s="87"/>
      <c r="F327" s="87"/>
      <c r="G327" s="87"/>
      <c r="H327" s="87"/>
    </row>
    <row r="329" spans="5:8" ht="12.75">
      <c r="E329" s="87"/>
      <c r="F329" s="87"/>
      <c r="G329" s="87"/>
      <c r="H329" s="87"/>
    </row>
    <row r="330" spans="5:8" ht="12.75">
      <c r="E330" s="87"/>
      <c r="F330" s="87"/>
      <c r="G330" s="87"/>
      <c r="H330" s="87"/>
    </row>
    <row r="331" spans="5:8" ht="12.75">
      <c r="E331" s="87"/>
      <c r="F331" s="87"/>
      <c r="G331" s="87"/>
      <c r="H331" s="87"/>
    </row>
    <row r="332" spans="5:8" ht="12.75">
      <c r="E332" s="87"/>
      <c r="F332" s="87"/>
      <c r="G332" s="87"/>
      <c r="H332" s="87"/>
    </row>
    <row r="333" spans="5:8" ht="12.75">
      <c r="E333" s="87"/>
      <c r="F333" s="87"/>
      <c r="G333" s="87"/>
      <c r="H333" s="87"/>
    </row>
    <row r="335" spans="5:9" ht="12.75">
      <c r="E335" s="87"/>
      <c r="F335" s="87"/>
      <c r="G335" s="87"/>
      <c r="I335" s="87"/>
    </row>
    <row r="336" spans="5:9" ht="12.75">
      <c r="E336" s="87"/>
      <c r="F336" s="87"/>
      <c r="G336" s="87"/>
      <c r="I336" s="87"/>
    </row>
    <row r="337" spans="5:7" ht="12.75">
      <c r="E337" s="87"/>
      <c r="F337" s="87"/>
      <c r="G337" s="87"/>
    </row>
    <row r="338" spans="5:8" ht="12.75">
      <c r="E338" s="87"/>
      <c r="F338" s="87"/>
      <c r="G338" s="87"/>
      <c r="H338" s="87"/>
    </row>
    <row r="340" spans="5:8" ht="12.75">
      <c r="E340" s="87"/>
      <c r="F340" s="87"/>
      <c r="G340" s="87"/>
      <c r="H340" s="87"/>
    </row>
    <row r="341" spans="5:8" ht="12.75">
      <c r="E341" s="87"/>
      <c r="F341" s="87"/>
      <c r="G341" s="87"/>
      <c r="H341" s="87"/>
    </row>
    <row r="342" spans="5:8" ht="12.75">
      <c r="E342" s="87"/>
      <c r="F342" s="87"/>
      <c r="G342" s="87"/>
      <c r="H342" s="87"/>
    </row>
    <row r="344" spans="5:7" ht="12.75">
      <c r="E344" s="87"/>
      <c r="F344" s="87"/>
      <c r="G344" s="87"/>
    </row>
    <row r="345" spans="5:7" ht="12.75">
      <c r="E345" s="87"/>
      <c r="F345" s="87"/>
      <c r="G345" s="87"/>
    </row>
    <row r="347" spans="5:8" ht="12.75">
      <c r="E347" s="87"/>
      <c r="F347" s="87"/>
      <c r="G347" s="87"/>
      <c r="H347" s="87"/>
    </row>
    <row r="348" spans="5:8" ht="12.75">
      <c r="E348" s="87"/>
      <c r="F348" s="87"/>
      <c r="G348" s="87"/>
      <c r="H348" s="87"/>
    </row>
    <row r="350" spans="5:8" ht="12.75">
      <c r="E350" s="87"/>
      <c r="F350" s="87"/>
      <c r="G350" s="87"/>
      <c r="H350" s="87"/>
    </row>
    <row r="351" spans="5:8" ht="12.75">
      <c r="E351" s="87"/>
      <c r="F351" s="87"/>
      <c r="G351" s="87"/>
      <c r="H351" s="87"/>
    </row>
    <row r="352" spans="5:6" ht="12.75">
      <c r="E352" s="88"/>
      <c r="F352" s="88"/>
    </row>
    <row r="354" ht="12.75">
      <c r="H354" s="88"/>
    </row>
    <row r="355" spans="5:7" ht="12.75">
      <c r="E355" s="87"/>
      <c r="F355" s="87"/>
      <c r="G355" s="87"/>
    </row>
    <row r="357" spans="5:9" ht="12.75">
      <c r="E357" s="87"/>
      <c r="F357" s="87"/>
      <c r="G357" s="87"/>
      <c r="I357" s="87"/>
    </row>
    <row r="358" spans="5:9" ht="12.75">
      <c r="E358" s="87"/>
      <c r="F358" s="87"/>
      <c r="G358" s="87"/>
      <c r="I358" s="87"/>
    </row>
    <row r="361" spans="5:7" ht="12.75">
      <c r="E361" s="87"/>
      <c r="F361" s="87"/>
      <c r="G361" s="87"/>
    </row>
    <row r="362" spans="5:7" ht="12.75">
      <c r="E362" s="87"/>
      <c r="F362" s="87"/>
      <c r="G362" s="87"/>
    </row>
    <row r="363" spans="5:7" ht="12.75">
      <c r="E363" s="87"/>
      <c r="F363" s="87"/>
      <c r="G363" s="87"/>
    </row>
    <row r="371" spans="5:8" ht="12.75">
      <c r="E371" s="87"/>
      <c r="F371" s="87"/>
      <c r="G371" s="87"/>
      <c r="H371" s="87"/>
    </row>
    <row r="374" spans="5:7" ht="12.75">
      <c r="E374" s="87"/>
      <c r="F374" s="87"/>
      <c r="G374" s="87"/>
    </row>
    <row r="376" spans="5:7" ht="12.75">
      <c r="E376" s="87"/>
      <c r="F376" s="87"/>
      <c r="G376" s="87"/>
    </row>
    <row r="378" spans="5:7" ht="12.75">
      <c r="E378" s="87"/>
      <c r="F378" s="87"/>
      <c r="G378" s="87"/>
    </row>
    <row r="380" spans="5:8" ht="12.75">
      <c r="E380" s="87"/>
      <c r="F380" s="87"/>
      <c r="G380" s="87"/>
      <c r="H380" s="87"/>
    </row>
    <row r="381" spans="5:8" ht="12.75">
      <c r="E381" s="87"/>
      <c r="F381" s="87"/>
      <c r="G381" s="87"/>
      <c r="H381" s="87"/>
    </row>
    <row r="383" spans="5:7" ht="12.75">
      <c r="E383" s="87"/>
      <c r="F383" s="87"/>
      <c r="G383" s="87"/>
    </row>
    <row r="384" spans="5:7" ht="12.75">
      <c r="E384" s="87"/>
      <c r="F384" s="87"/>
      <c r="G384" s="87"/>
    </row>
    <row r="386" spans="5:8" ht="12.75">
      <c r="E386" s="87"/>
      <c r="F386" s="87"/>
      <c r="G386" s="87"/>
      <c r="H386" s="87"/>
    </row>
    <row r="387" spans="5:8" ht="12.75">
      <c r="E387" s="87"/>
      <c r="F387" s="87"/>
      <c r="G387" s="87"/>
      <c r="H387" s="87"/>
    </row>
    <row r="389" spans="5:7" ht="12.75">
      <c r="E389" s="87"/>
      <c r="F389" s="87"/>
      <c r="G389" s="87"/>
    </row>
    <row r="390" spans="5:7" ht="12.75">
      <c r="E390" s="87"/>
      <c r="F390" s="87"/>
      <c r="G390" s="87"/>
    </row>
    <row r="392" spans="5:8" ht="12.75">
      <c r="E392" s="87"/>
      <c r="F392" s="87"/>
      <c r="G392" s="87"/>
      <c r="H392" s="87"/>
    </row>
    <row r="393" spans="5:8" ht="12.75">
      <c r="E393" s="87"/>
      <c r="F393" s="87"/>
      <c r="G393" s="87"/>
      <c r="H393" s="87"/>
    </row>
    <row r="394" spans="5:8" ht="12.75">
      <c r="E394" s="87"/>
      <c r="F394" s="87"/>
      <c r="G394" s="87"/>
      <c r="H394" s="87"/>
    </row>
    <row r="396" spans="5:8" ht="12.75">
      <c r="E396" s="87"/>
      <c r="F396" s="87"/>
      <c r="G396" s="87"/>
      <c r="H396" s="87"/>
    </row>
    <row r="398" spans="5:8" ht="12.75">
      <c r="E398" s="87"/>
      <c r="F398" s="87"/>
      <c r="G398" s="87"/>
      <c r="H398" s="87"/>
    </row>
    <row r="399" spans="5:8" ht="12.75">
      <c r="E399" s="87"/>
      <c r="F399" s="87"/>
      <c r="G399" s="87"/>
      <c r="H399" s="87"/>
    </row>
    <row r="400" spans="5:8" ht="12.75">
      <c r="E400" s="87"/>
      <c r="F400" s="87"/>
      <c r="G400" s="87"/>
      <c r="H400" s="87"/>
    </row>
    <row r="401" spans="5:8" ht="12.75">
      <c r="E401" s="87"/>
      <c r="F401" s="87"/>
      <c r="G401" s="87"/>
      <c r="H401" s="87"/>
    </row>
    <row r="402" spans="5:8" ht="12.75">
      <c r="E402" s="87"/>
      <c r="F402" s="87"/>
      <c r="G402" s="87"/>
      <c r="H402" s="87"/>
    </row>
    <row r="403" spans="5:8" ht="12.75">
      <c r="E403" s="87"/>
      <c r="F403" s="87"/>
      <c r="G403" s="87"/>
      <c r="H403" s="87"/>
    </row>
    <row r="405" spans="5:7" ht="12.75">
      <c r="E405" s="87"/>
      <c r="F405" s="87"/>
      <c r="G405" s="87"/>
    </row>
    <row r="406" spans="5:7" ht="12.75">
      <c r="E406" s="87"/>
      <c r="F406" s="87"/>
      <c r="G406" s="87"/>
    </row>
    <row r="407" spans="5:6" ht="12.75">
      <c r="E407" s="88"/>
      <c r="F407" s="88"/>
    </row>
    <row r="409" ht="12.75">
      <c r="H409" s="88"/>
    </row>
    <row r="411" spans="5:7" ht="12.75">
      <c r="E411" s="87"/>
      <c r="F411" s="87"/>
      <c r="G411" s="87"/>
    </row>
    <row r="412" spans="5:7" ht="12.75">
      <c r="E412" s="87"/>
      <c r="F412" s="87"/>
      <c r="G412" s="87"/>
    </row>
    <row r="414" spans="5:11" ht="12.75">
      <c r="E414" s="87"/>
      <c r="F414" s="87"/>
      <c r="G414" s="87"/>
      <c r="K414" s="87"/>
    </row>
    <row r="417" spans="5:11" ht="12.75">
      <c r="E417" s="87"/>
      <c r="F417" s="87"/>
      <c r="G417" s="87"/>
      <c r="K417" s="87"/>
    </row>
    <row r="418" spans="5:7" ht="12.75">
      <c r="E418" s="87"/>
      <c r="F418" s="87"/>
      <c r="G418" s="87"/>
    </row>
    <row r="419" spans="5:7" ht="12.75">
      <c r="E419" s="87"/>
      <c r="F419" s="87"/>
      <c r="G419" s="87"/>
    </row>
    <row r="420" spans="5:7" ht="12.75">
      <c r="E420" s="87"/>
      <c r="F420" s="87"/>
      <c r="G420" s="87"/>
    </row>
    <row r="422" spans="5:11" ht="12.75">
      <c r="E422" s="87"/>
      <c r="F422" s="87"/>
      <c r="K422" s="87"/>
    </row>
    <row r="423" spans="5:11" ht="12.75">
      <c r="E423" s="87"/>
      <c r="F423" s="87"/>
      <c r="K423" s="87"/>
    </row>
    <row r="424" spans="5:11" ht="12.75">
      <c r="E424" s="87"/>
      <c r="F424" s="87"/>
      <c r="K424" s="87"/>
    </row>
    <row r="426" spans="5:7" ht="12.75">
      <c r="E426" s="87"/>
      <c r="F426" s="87"/>
      <c r="G426" s="87"/>
    </row>
    <row r="428" spans="5:7" ht="12.75">
      <c r="E428" s="87"/>
      <c r="F428" s="87"/>
      <c r="G428" s="87"/>
    </row>
    <row r="429" spans="5:7" ht="12.75">
      <c r="E429" s="87"/>
      <c r="F429" s="87"/>
      <c r="G429" s="87"/>
    </row>
    <row r="430" spans="5:7" ht="12.75">
      <c r="E430" s="87"/>
      <c r="F430" s="87"/>
      <c r="G430" s="87"/>
    </row>
    <row r="432" spans="5:11" ht="12.75">
      <c r="E432" s="87"/>
      <c r="F432" s="87"/>
      <c r="G432" s="87"/>
      <c r="K432" s="87"/>
    </row>
    <row r="433" spans="5:7" ht="12.75">
      <c r="E433" s="87"/>
      <c r="F433" s="87"/>
      <c r="G433" s="87"/>
    </row>
    <row r="434" spans="5:7" ht="12.75">
      <c r="E434" s="87"/>
      <c r="F434" s="87"/>
      <c r="G434" s="87"/>
    </row>
    <row r="436" spans="5:11" ht="12.75">
      <c r="E436" s="87"/>
      <c r="F436" s="87"/>
      <c r="K436" s="87"/>
    </row>
    <row r="438" spans="5:7" ht="12.75">
      <c r="E438" s="87"/>
      <c r="F438" s="87"/>
      <c r="G438" s="87"/>
    </row>
    <row r="439" spans="5:7" ht="12.75">
      <c r="E439" s="87"/>
      <c r="F439" s="87"/>
      <c r="G439" s="87"/>
    </row>
    <row r="441" spans="5:11" ht="12.75">
      <c r="E441" s="87"/>
      <c r="F441" s="87"/>
      <c r="G441" s="87"/>
      <c r="H441" s="87"/>
      <c r="K441" s="87"/>
    </row>
    <row r="442" spans="5:7" ht="12.75">
      <c r="E442" s="87"/>
      <c r="F442" s="87"/>
      <c r="G442" s="87"/>
    </row>
    <row r="443" spans="5:8" ht="12.75">
      <c r="E443" s="87"/>
      <c r="F443" s="87"/>
      <c r="G443" s="87"/>
      <c r="H443" s="87"/>
    </row>
    <row r="444" spans="5:7" ht="12.75">
      <c r="E444" s="87"/>
      <c r="F444" s="87"/>
      <c r="G444" s="87"/>
    </row>
    <row r="446" spans="5:7" ht="12.75">
      <c r="E446" s="87"/>
      <c r="F446" s="87"/>
      <c r="G446" s="87"/>
    </row>
    <row r="447" spans="5:7" ht="12.75">
      <c r="E447" s="87"/>
      <c r="F447" s="87"/>
      <c r="G447" s="87"/>
    </row>
    <row r="449" spans="5:11" ht="12.75">
      <c r="E449" s="87"/>
      <c r="F449" s="87"/>
      <c r="G449" s="87"/>
      <c r="K449" s="87"/>
    </row>
    <row r="450" spans="5:7" ht="12.75">
      <c r="E450" s="87"/>
      <c r="F450" s="87"/>
      <c r="G450" s="87"/>
    </row>
    <row r="452" spans="5:11" ht="12.75">
      <c r="E452" s="87"/>
      <c r="F452" s="87"/>
      <c r="K452" s="87"/>
    </row>
    <row r="454" spans="5:7" ht="12.75">
      <c r="E454" s="87"/>
      <c r="F454" s="87"/>
      <c r="G454" s="87"/>
    </row>
    <row r="455" spans="5:7" ht="12.75">
      <c r="E455" s="87"/>
      <c r="F455" s="87"/>
      <c r="G455" s="87"/>
    </row>
    <row r="457" spans="5:11" ht="12.75">
      <c r="E457" s="87"/>
      <c r="F457" s="87"/>
      <c r="G457" s="87"/>
      <c r="I457" s="87"/>
      <c r="K457" s="87"/>
    </row>
    <row r="458" spans="5:9" ht="12.75">
      <c r="E458" s="87"/>
      <c r="F458" s="87"/>
      <c r="G458" s="87"/>
      <c r="I458" s="87"/>
    </row>
    <row r="459" spans="5:9" ht="12.75">
      <c r="E459" s="87"/>
      <c r="F459" s="87"/>
      <c r="G459" s="87"/>
      <c r="I459" s="87"/>
    </row>
    <row r="461" spans="5:9" ht="12.75">
      <c r="E461" s="87"/>
      <c r="F461" s="87"/>
      <c r="G461" s="87"/>
      <c r="I461" s="87"/>
    </row>
    <row r="463" spans="5:9" ht="12.75">
      <c r="E463" s="87"/>
      <c r="F463" s="87"/>
      <c r="G463" s="87"/>
      <c r="I463" s="87"/>
    </row>
    <row r="464" spans="5:9" ht="12.75">
      <c r="E464" s="87"/>
      <c r="F464" s="87"/>
      <c r="G464" s="87"/>
      <c r="I464" s="87"/>
    </row>
    <row r="465" spans="5:9" ht="12.75">
      <c r="E465" s="87"/>
      <c r="F465" s="87"/>
      <c r="G465" s="87"/>
      <c r="I465" s="87"/>
    </row>
    <row r="466" spans="5:9" ht="12.75">
      <c r="E466" s="87"/>
      <c r="F466" s="87"/>
      <c r="G466" s="87"/>
      <c r="I466" s="87"/>
    </row>
    <row r="467" spans="5:9" ht="12.75">
      <c r="E467" s="87"/>
      <c r="F467" s="87"/>
      <c r="G467" s="87"/>
      <c r="I467" s="87"/>
    </row>
    <row r="468" spans="5:9" ht="12.75">
      <c r="E468" s="87"/>
      <c r="F468" s="87"/>
      <c r="G468" s="87"/>
      <c r="I468" s="87"/>
    </row>
    <row r="469" spans="5:9" ht="12.75">
      <c r="E469" s="87"/>
      <c r="F469" s="87"/>
      <c r="G469" s="87"/>
      <c r="I469" s="87"/>
    </row>
    <row r="470" spans="5:9" ht="12.75">
      <c r="E470" s="87"/>
      <c r="F470" s="87"/>
      <c r="G470" s="87"/>
      <c r="I470" s="87"/>
    </row>
    <row r="471" spans="5:9" ht="12.75">
      <c r="E471" s="87"/>
      <c r="F471" s="87"/>
      <c r="G471" s="87"/>
      <c r="I471" s="87"/>
    </row>
    <row r="473" spans="5:7" ht="12.75">
      <c r="E473" s="87"/>
      <c r="F473" s="87"/>
      <c r="G473" s="87"/>
    </row>
    <row r="474" spans="5:7" ht="12.75">
      <c r="E474" s="87"/>
      <c r="F474" s="87"/>
      <c r="G474" s="87"/>
    </row>
    <row r="476" spans="5:11" ht="12.75">
      <c r="E476" s="87"/>
      <c r="F476" s="87"/>
      <c r="K476" s="87"/>
    </row>
  </sheetData>
  <mergeCells count="14">
    <mergeCell ref="A254:C254"/>
    <mergeCell ref="A236:C236"/>
    <mergeCell ref="A2:H2"/>
    <mergeCell ref="H5:J5"/>
    <mergeCell ref="G5:G6"/>
    <mergeCell ref="A4:A6"/>
    <mergeCell ref="C4:C6"/>
    <mergeCell ref="B4:B6"/>
    <mergeCell ref="I1:K2"/>
    <mergeCell ref="G4:K4"/>
    <mergeCell ref="C237:K237"/>
    <mergeCell ref="D4:D6"/>
    <mergeCell ref="E4:E6"/>
    <mergeCell ref="K5:K6"/>
  </mergeCells>
  <printOptions horizontalCentered="1"/>
  <pageMargins left="0.1968503937007874" right="0.1968503937007874" top="0.23" bottom="0.35" header="0.18" footer="0.16"/>
  <pageSetup fitToHeight="10" horizontalDpi="600" verticalDpi="600" orientation="landscape" pageOrder="overThenDown" paperSize="9" scale="86" r:id="rId1"/>
  <headerFooter alignWithMargins="0">
    <oddFooter>&amp;C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showGridLines="0" view="pageBreakPreview" zoomScaleSheetLayoutView="100" workbookViewId="0" topLeftCell="A1">
      <selection activeCell="A43" sqref="A43"/>
    </sheetView>
  </sheetViews>
  <sheetFormatPr defaultColWidth="9.00390625" defaultRowHeight="12.75"/>
  <cols>
    <col min="1" max="1" width="5.625" style="1" customWidth="1"/>
    <col min="2" max="2" width="6.875" style="3" customWidth="1"/>
    <col min="3" max="3" width="7.75390625" style="3" customWidth="1"/>
    <col min="4" max="4" width="4.875" style="3" customWidth="1"/>
    <col min="5" max="5" width="15.625" style="1" customWidth="1"/>
    <col min="6" max="6" width="12.00390625" style="3" customWidth="1"/>
    <col min="7" max="7" width="12.375" style="3" customWidth="1"/>
    <col min="8" max="8" width="10.125" style="3" customWidth="1"/>
    <col min="9" max="9" width="10.125" style="1" customWidth="1"/>
    <col min="10" max="10" width="12.625" style="1" customWidth="1"/>
    <col min="11" max="11" width="14.375" style="1" customWidth="1"/>
    <col min="12" max="12" width="9.875" style="3" customWidth="1"/>
    <col min="13" max="13" width="10.125" style="3" bestFit="1" customWidth="1"/>
    <col min="14" max="14" width="16.75390625" style="1" customWidth="1"/>
    <col min="15" max="16384" width="9.125" style="1" customWidth="1"/>
  </cols>
  <sheetData>
    <row r="1" spans="12:13" ht="12.75">
      <c r="L1" t="s">
        <v>665</v>
      </c>
      <c r="M1" s="1"/>
    </row>
    <row r="2" spans="12:13" ht="12.75">
      <c r="L2" t="s">
        <v>710</v>
      </c>
      <c r="M2" s="1"/>
    </row>
    <row r="3" spans="12:13" ht="12.75">
      <c r="L3" t="s">
        <v>186</v>
      </c>
      <c r="M3" s="1"/>
    </row>
    <row r="4" spans="12:13" ht="12.75">
      <c r="L4" t="s">
        <v>711</v>
      </c>
      <c r="M4" s="1"/>
    </row>
    <row r="6" spans="1:14" ht="18">
      <c r="A6" s="695" t="s">
        <v>551</v>
      </c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</row>
    <row r="7" spans="1:14" ht="18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0" t="s">
        <v>43</v>
      </c>
    </row>
    <row r="8" spans="1:14" ht="12.75">
      <c r="A8" s="696" t="s">
        <v>61</v>
      </c>
      <c r="B8" s="696" t="s">
        <v>2</v>
      </c>
      <c r="C8" s="696" t="s">
        <v>42</v>
      </c>
      <c r="D8" s="696" t="s">
        <v>125</v>
      </c>
      <c r="E8" s="693" t="s">
        <v>111</v>
      </c>
      <c r="F8" s="693" t="s">
        <v>123</v>
      </c>
      <c r="G8" s="693" t="s">
        <v>73</v>
      </c>
      <c r="H8" s="693"/>
      <c r="I8" s="693"/>
      <c r="J8" s="693"/>
      <c r="K8" s="693"/>
      <c r="L8" s="693"/>
      <c r="M8" s="693"/>
      <c r="N8" s="694" t="s">
        <v>126</v>
      </c>
    </row>
    <row r="9" spans="1:14" ht="12.75">
      <c r="A9" s="696"/>
      <c r="B9" s="696"/>
      <c r="C9" s="696"/>
      <c r="D9" s="696"/>
      <c r="E9" s="693"/>
      <c r="F9" s="693"/>
      <c r="G9" s="693" t="s">
        <v>552</v>
      </c>
      <c r="H9" s="693" t="s">
        <v>172</v>
      </c>
      <c r="I9" s="693"/>
      <c r="J9" s="693"/>
      <c r="K9" s="693"/>
      <c r="L9" s="693" t="s">
        <v>549</v>
      </c>
      <c r="M9" s="693" t="s">
        <v>553</v>
      </c>
      <c r="N9" s="694"/>
    </row>
    <row r="10" spans="1:14" ht="12.75">
      <c r="A10" s="696"/>
      <c r="B10" s="696"/>
      <c r="C10" s="696"/>
      <c r="D10" s="696"/>
      <c r="E10" s="693"/>
      <c r="F10" s="693"/>
      <c r="G10" s="693"/>
      <c r="H10" s="694" t="s">
        <v>127</v>
      </c>
      <c r="I10" s="694" t="s">
        <v>438</v>
      </c>
      <c r="J10" s="694" t="s">
        <v>174</v>
      </c>
      <c r="K10" s="694" t="s">
        <v>110</v>
      </c>
      <c r="L10" s="693"/>
      <c r="M10" s="693"/>
      <c r="N10" s="694"/>
    </row>
    <row r="11" spans="1:14" ht="18" customHeight="1">
      <c r="A11" s="696"/>
      <c r="B11" s="696"/>
      <c r="C11" s="696"/>
      <c r="D11" s="696"/>
      <c r="E11" s="693"/>
      <c r="F11" s="693"/>
      <c r="G11" s="693"/>
      <c r="H11" s="694"/>
      <c r="I11" s="694"/>
      <c r="J11" s="694"/>
      <c r="K11" s="694"/>
      <c r="L11" s="693"/>
      <c r="M11" s="693"/>
      <c r="N11" s="694"/>
    </row>
    <row r="12" spans="1:14" ht="15.75" customHeight="1">
      <c r="A12" s="696"/>
      <c r="B12" s="696"/>
      <c r="C12" s="696"/>
      <c r="D12" s="696"/>
      <c r="E12" s="693"/>
      <c r="F12" s="693"/>
      <c r="G12" s="693"/>
      <c r="H12" s="694"/>
      <c r="I12" s="694"/>
      <c r="J12" s="694"/>
      <c r="K12" s="694"/>
      <c r="L12" s="693"/>
      <c r="M12" s="693"/>
      <c r="N12" s="694"/>
    </row>
    <row r="13" spans="1:14" s="49" customFormat="1" ht="12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</row>
    <row r="14" spans="1:14" s="49" customFormat="1" ht="30.75" customHeight="1">
      <c r="A14" s="495">
        <v>1</v>
      </c>
      <c r="B14" s="495">
        <v>600</v>
      </c>
      <c r="C14" s="495">
        <v>60016</v>
      </c>
      <c r="D14" s="495">
        <v>6050</v>
      </c>
      <c r="E14" s="496" t="s">
        <v>641</v>
      </c>
      <c r="F14" s="497">
        <v>13150000</v>
      </c>
      <c r="G14" s="497">
        <v>500000</v>
      </c>
      <c r="H14" s="498">
        <v>500000</v>
      </c>
      <c r="I14" s="499"/>
      <c r="J14" s="500" t="s">
        <v>128</v>
      </c>
      <c r="K14" s="499"/>
      <c r="L14" s="501">
        <v>7100000</v>
      </c>
      <c r="M14" s="501">
        <v>5550000</v>
      </c>
      <c r="N14" s="502" t="s">
        <v>439</v>
      </c>
    </row>
    <row r="15" spans="1:14" s="49" customFormat="1" ht="42.75" customHeight="1">
      <c r="A15" s="36">
        <v>2</v>
      </c>
      <c r="B15" s="36">
        <v>600</v>
      </c>
      <c r="C15" s="36">
        <v>60016</v>
      </c>
      <c r="D15" s="36">
        <v>6050</v>
      </c>
      <c r="E15" s="159" t="s">
        <v>567</v>
      </c>
      <c r="F15" s="450">
        <v>1030000</v>
      </c>
      <c r="G15" s="450">
        <v>30000</v>
      </c>
      <c r="H15" s="503">
        <v>30000</v>
      </c>
      <c r="I15" s="504"/>
      <c r="J15" s="505" t="s">
        <v>128</v>
      </c>
      <c r="K15" s="504"/>
      <c r="L15" s="449">
        <v>1000000</v>
      </c>
      <c r="M15" s="449"/>
      <c r="N15" s="451" t="s">
        <v>439</v>
      </c>
    </row>
    <row r="16" spans="1:14" s="49" customFormat="1" ht="40.5" customHeight="1">
      <c r="A16" s="36">
        <v>3</v>
      </c>
      <c r="B16" s="36">
        <v>600</v>
      </c>
      <c r="C16" s="36">
        <v>60016</v>
      </c>
      <c r="D16" s="36">
        <v>6050</v>
      </c>
      <c r="E16" s="159" t="s">
        <v>568</v>
      </c>
      <c r="F16" s="450">
        <v>1250000</v>
      </c>
      <c r="G16" s="450">
        <v>50000</v>
      </c>
      <c r="H16" s="503">
        <v>50000</v>
      </c>
      <c r="I16" s="504"/>
      <c r="J16" s="505" t="s">
        <v>128</v>
      </c>
      <c r="K16" s="504"/>
      <c r="L16" s="449">
        <v>1200000</v>
      </c>
      <c r="M16" s="449"/>
      <c r="N16" s="451" t="s">
        <v>439</v>
      </c>
    </row>
    <row r="17" spans="1:14" s="49" customFormat="1" ht="106.5" customHeight="1">
      <c r="A17" s="36">
        <v>4</v>
      </c>
      <c r="B17" s="36">
        <v>600</v>
      </c>
      <c r="C17" s="36">
        <v>60016</v>
      </c>
      <c r="D17" s="36">
        <v>6050</v>
      </c>
      <c r="E17" s="159" t="s">
        <v>693</v>
      </c>
      <c r="F17" s="450">
        <v>860000</v>
      </c>
      <c r="G17" s="450">
        <v>45000</v>
      </c>
      <c r="H17" s="503">
        <v>45000</v>
      </c>
      <c r="I17" s="504"/>
      <c r="J17" s="505" t="s">
        <v>128</v>
      </c>
      <c r="K17" s="504"/>
      <c r="L17" s="449">
        <v>400000</v>
      </c>
      <c r="M17" s="449">
        <v>415000</v>
      </c>
      <c r="N17" s="451" t="s">
        <v>439</v>
      </c>
    </row>
    <row r="18" spans="1:14" ht="33.75" customHeight="1">
      <c r="A18" s="36">
        <v>5</v>
      </c>
      <c r="B18" s="36">
        <v>600</v>
      </c>
      <c r="C18" s="36">
        <v>60016</v>
      </c>
      <c r="D18" s="36">
        <v>6050</v>
      </c>
      <c r="E18" s="159" t="s">
        <v>633</v>
      </c>
      <c r="F18" s="450">
        <v>535380</v>
      </c>
      <c r="G18" s="450">
        <v>500000</v>
      </c>
      <c r="H18" s="503">
        <v>500000</v>
      </c>
      <c r="I18" s="504"/>
      <c r="J18" s="505" t="s">
        <v>128</v>
      </c>
      <c r="K18" s="504"/>
      <c r="L18" s="449"/>
      <c r="M18" s="449"/>
      <c r="N18" s="451" t="s">
        <v>439</v>
      </c>
    </row>
    <row r="19" spans="1:14" ht="37.5" customHeight="1">
      <c r="A19" s="36">
        <v>6</v>
      </c>
      <c r="B19" s="36">
        <v>600</v>
      </c>
      <c r="C19" s="36">
        <v>60016</v>
      </c>
      <c r="D19" s="36">
        <v>6050</v>
      </c>
      <c r="E19" s="159" t="s">
        <v>663</v>
      </c>
      <c r="F19" s="450">
        <v>1168880</v>
      </c>
      <c r="G19" s="450">
        <v>100000</v>
      </c>
      <c r="H19" s="503">
        <v>100000</v>
      </c>
      <c r="I19" s="504"/>
      <c r="J19" s="505" t="s">
        <v>128</v>
      </c>
      <c r="K19" s="504"/>
      <c r="L19" s="449">
        <v>1000000</v>
      </c>
      <c r="M19" s="449"/>
      <c r="N19" s="451" t="s">
        <v>439</v>
      </c>
    </row>
    <row r="20" spans="1:14" ht="42.75" customHeight="1">
      <c r="A20" s="36">
        <v>7</v>
      </c>
      <c r="B20" s="36">
        <v>700</v>
      </c>
      <c r="C20" s="36">
        <v>70095</v>
      </c>
      <c r="D20" s="36">
        <v>6050</v>
      </c>
      <c r="E20" s="159" t="s">
        <v>440</v>
      </c>
      <c r="F20" s="450">
        <v>2548906</v>
      </c>
      <c r="G20" s="450">
        <v>1000000</v>
      </c>
      <c r="H20" s="503">
        <v>1000000</v>
      </c>
      <c r="I20" s="504"/>
      <c r="J20" s="505" t="s">
        <v>128</v>
      </c>
      <c r="K20" s="504"/>
      <c r="L20" s="449">
        <v>1000000</v>
      </c>
      <c r="M20" s="449">
        <v>500000</v>
      </c>
      <c r="N20" s="451" t="s">
        <v>439</v>
      </c>
    </row>
    <row r="21" spans="1:14" ht="67.5">
      <c r="A21" s="36">
        <v>8</v>
      </c>
      <c r="B21" s="36">
        <v>700</v>
      </c>
      <c r="C21" s="36">
        <v>70095</v>
      </c>
      <c r="D21" s="36">
        <v>6050</v>
      </c>
      <c r="E21" s="159" t="s">
        <v>675</v>
      </c>
      <c r="F21" s="450">
        <v>1600000</v>
      </c>
      <c r="G21" s="450">
        <v>105000</v>
      </c>
      <c r="H21" s="449">
        <v>105000</v>
      </c>
      <c r="I21" s="451"/>
      <c r="J21" s="452" t="s">
        <v>128</v>
      </c>
      <c r="K21" s="451"/>
      <c r="L21" s="449">
        <v>800000</v>
      </c>
      <c r="M21" s="449">
        <v>695000</v>
      </c>
      <c r="N21" s="451" t="s">
        <v>439</v>
      </c>
    </row>
    <row r="22" spans="1:14" ht="112.5">
      <c r="A22" s="36">
        <v>9</v>
      </c>
      <c r="B22" s="36">
        <v>700</v>
      </c>
      <c r="C22" s="36">
        <v>70095</v>
      </c>
      <c r="D22" s="36">
        <v>6050</v>
      </c>
      <c r="E22" s="159" t="s">
        <v>694</v>
      </c>
      <c r="F22" s="450">
        <v>800000</v>
      </c>
      <c r="G22" s="450">
        <v>48000</v>
      </c>
      <c r="H22" s="449">
        <v>48000</v>
      </c>
      <c r="I22" s="451"/>
      <c r="J22" s="452" t="s">
        <v>128</v>
      </c>
      <c r="K22" s="451"/>
      <c r="L22" s="449">
        <v>302000</v>
      </c>
      <c r="M22" s="449">
        <v>450000</v>
      </c>
      <c r="N22" s="451" t="s">
        <v>439</v>
      </c>
    </row>
    <row r="23" spans="1:14" ht="90">
      <c r="A23" s="36">
        <v>10</v>
      </c>
      <c r="B23" s="36">
        <v>700</v>
      </c>
      <c r="C23" s="36">
        <v>70095</v>
      </c>
      <c r="D23" s="36">
        <v>6050</v>
      </c>
      <c r="E23" s="159" t="s">
        <v>670</v>
      </c>
      <c r="F23" s="450">
        <v>11500000</v>
      </c>
      <c r="G23" s="450">
        <v>100000</v>
      </c>
      <c r="H23" s="449">
        <v>100000</v>
      </c>
      <c r="I23" s="451"/>
      <c r="J23" s="452" t="s">
        <v>128</v>
      </c>
      <c r="K23" s="451"/>
      <c r="L23" s="449">
        <v>4500000</v>
      </c>
      <c r="M23" s="449">
        <v>6900000</v>
      </c>
      <c r="N23" s="451" t="s">
        <v>439</v>
      </c>
    </row>
    <row r="24" spans="1:14" ht="101.25">
      <c r="A24" s="36">
        <v>11</v>
      </c>
      <c r="B24" s="36">
        <v>700</v>
      </c>
      <c r="C24" s="36">
        <v>70095</v>
      </c>
      <c r="D24" s="36">
        <v>6050</v>
      </c>
      <c r="E24" s="159" t="s">
        <v>695</v>
      </c>
      <c r="F24" s="450">
        <v>110000</v>
      </c>
      <c r="G24" s="450">
        <v>16000</v>
      </c>
      <c r="H24" s="449">
        <v>16000</v>
      </c>
      <c r="I24" s="451"/>
      <c r="J24" s="452" t="s">
        <v>128</v>
      </c>
      <c r="K24" s="451"/>
      <c r="L24" s="449">
        <v>94000</v>
      </c>
      <c r="M24" s="449"/>
      <c r="N24" s="451" t="s">
        <v>439</v>
      </c>
    </row>
    <row r="25" spans="1:14" ht="42.75" customHeight="1">
      <c r="A25" s="36">
        <v>12</v>
      </c>
      <c r="B25" s="36">
        <v>700</v>
      </c>
      <c r="C25" s="36">
        <v>70095</v>
      </c>
      <c r="D25" s="36">
        <v>6050</v>
      </c>
      <c r="E25" s="159" t="s">
        <v>677</v>
      </c>
      <c r="F25" s="450">
        <v>320000</v>
      </c>
      <c r="G25" s="450">
        <v>36000</v>
      </c>
      <c r="H25" s="449">
        <v>36000</v>
      </c>
      <c r="I25" s="451"/>
      <c r="J25" s="452" t="s">
        <v>128</v>
      </c>
      <c r="K25" s="451"/>
      <c r="L25" s="449"/>
      <c r="M25" s="449">
        <v>284000</v>
      </c>
      <c r="N25" s="451" t="s">
        <v>439</v>
      </c>
    </row>
    <row r="26" spans="1:14" ht="90">
      <c r="A26" s="36">
        <v>13</v>
      </c>
      <c r="B26" s="36">
        <v>700</v>
      </c>
      <c r="C26" s="36">
        <v>70095</v>
      </c>
      <c r="D26" s="36">
        <v>6050</v>
      </c>
      <c r="E26" s="159" t="s">
        <v>696</v>
      </c>
      <c r="F26" s="450">
        <v>210000</v>
      </c>
      <c r="G26" s="450">
        <v>40000</v>
      </c>
      <c r="H26" s="449">
        <v>40000</v>
      </c>
      <c r="I26" s="451"/>
      <c r="J26" s="452"/>
      <c r="K26" s="451"/>
      <c r="L26" s="449"/>
      <c r="M26" s="449">
        <v>170000</v>
      </c>
      <c r="N26" s="451"/>
    </row>
    <row r="27" spans="1:14" ht="78.75">
      <c r="A27" s="36">
        <v>14</v>
      </c>
      <c r="B27" s="36">
        <v>700</v>
      </c>
      <c r="C27" s="36">
        <v>70095</v>
      </c>
      <c r="D27" s="36">
        <v>6050</v>
      </c>
      <c r="E27" s="159" t="s">
        <v>697</v>
      </c>
      <c r="F27" s="450">
        <v>435000</v>
      </c>
      <c r="G27" s="450">
        <v>64000</v>
      </c>
      <c r="H27" s="449">
        <v>64000</v>
      </c>
      <c r="I27" s="451"/>
      <c r="J27" s="452"/>
      <c r="K27" s="451"/>
      <c r="L27" s="449"/>
      <c r="M27" s="449">
        <v>371000</v>
      </c>
      <c r="N27" s="451"/>
    </row>
    <row r="28" spans="1:14" ht="96" customHeight="1">
      <c r="A28" s="36">
        <v>15</v>
      </c>
      <c r="B28" s="36">
        <v>700</v>
      </c>
      <c r="C28" s="36">
        <v>70095</v>
      </c>
      <c r="D28" s="36">
        <v>6050</v>
      </c>
      <c r="E28" s="159" t="s">
        <v>698</v>
      </c>
      <c r="F28" s="450">
        <v>280000</v>
      </c>
      <c r="G28" s="450">
        <v>40000</v>
      </c>
      <c r="H28" s="449">
        <v>40000</v>
      </c>
      <c r="I28" s="451"/>
      <c r="J28" s="452"/>
      <c r="K28" s="451"/>
      <c r="L28" s="449">
        <v>140000</v>
      </c>
      <c r="M28" s="449">
        <v>100000</v>
      </c>
      <c r="N28" s="451"/>
    </row>
    <row r="29" spans="1:14" ht="113.25" customHeight="1">
      <c r="A29" s="36">
        <v>16</v>
      </c>
      <c r="B29" s="36">
        <v>700</v>
      </c>
      <c r="C29" s="36">
        <v>70095</v>
      </c>
      <c r="D29" s="36">
        <v>6050</v>
      </c>
      <c r="E29" s="159" t="s">
        <v>699</v>
      </c>
      <c r="F29" s="450">
        <v>200000</v>
      </c>
      <c r="G29" s="450">
        <v>37000</v>
      </c>
      <c r="H29" s="449">
        <v>37000</v>
      </c>
      <c r="I29" s="451"/>
      <c r="J29" s="452"/>
      <c r="K29" s="451"/>
      <c r="L29" s="449"/>
      <c r="M29" s="449">
        <v>163000</v>
      </c>
      <c r="N29" s="451"/>
    </row>
    <row r="30" spans="1:14" ht="67.5">
      <c r="A30" s="36">
        <v>17</v>
      </c>
      <c r="B30" s="36">
        <v>700</v>
      </c>
      <c r="C30" s="36">
        <v>70095</v>
      </c>
      <c r="D30" s="36">
        <v>6050</v>
      </c>
      <c r="E30" s="159" t="s">
        <v>700</v>
      </c>
      <c r="F30" s="450">
        <v>420000</v>
      </c>
      <c r="G30" s="450">
        <v>50000</v>
      </c>
      <c r="H30" s="449">
        <v>50000</v>
      </c>
      <c r="I30" s="451"/>
      <c r="J30" s="452"/>
      <c r="K30" s="451"/>
      <c r="L30" s="449">
        <v>370000</v>
      </c>
      <c r="M30" s="449"/>
      <c r="N30" s="451"/>
    </row>
    <row r="31" spans="1:14" ht="67.5">
      <c r="A31" s="36">
        <v>18</v>
      </c>
      <c r="B31" s="36">
        <v>700</v>
      </c>
      <c r="C31" s="36">
        <v>70095</v>
      </c>
      <c r="D31" s="36">
        <v>6050</v>
      </c>
      <c r="E31" s="159" t="s">
        <v>702</v>
      </c>
      <c r="F31" s="450">
        <v>420000</v>
      </c>
      <c r="G31" s="450">
        <v>51000</v>
      </c>
      <c r="H31" s="449">
        <v>51000</v>
      </c>
      <c r="I31" s="451"/>
      <c r="J31" s="452"/>
      <c r="K31" s="451"/>
      <c r="L31" s="449"/>
      <c r="M31" s="449">
        <v>369000</v>
      </c>
      <c r="N31" s="451"/>
    </row>
    <row r="32" spans="1:14" ht="90">
      <c r="A32" s="36">
        <v>19</v>
      </c>
      <c r="B32" s="36">
        <v>700</v>
      </c>
      <c r="C32" s="36">
        <v>70095</v>
      </c>
      <c r="D32" s="36">
        <v>6050</v>
      </c>
      <c r="E32" s="159" t="s">
        <v>703</v>
      </c>
      <c r="F32" s="450">
        <v>301000</v>
      </c>
      <c r="G32" s="450">
        <v>21000</v>
      </c>
      <c r="H32" s="449">
        <v>21000</v>
      </c>
      <c r="I32" s="451"/>
      <c r="J32" s="452"/>
      <c r="K32" s="451"/>
      <c r="L32" s="449">
        <v>280000</v>
      </c>
      <c r="M32" s="449"/>
      <c r="N32" s="451"/>
    </row>
    <row r="33" spans="1:14" ht="37.5" customHeight="1">
      <c r="A33" s="36">
        <v>20</v>
      </c>
      <c r="B33" s="36">
        <v>750</v>
      </c>
      <c r="C33" s="36">
        <v>75023</v>
      </c>
      <c r="D33" s="36">
        <v>6050</v>
      </c>
      <c r="E33" s="159" t="s">
        <v>634</v>
      </c>
      <c r="F33" s="450">
        <v>100000</v>
      </c>
      <c r="G33" s="450">
        <v>50000</v>
      </c>
      <c r="H33" s="503">
        <v>50000</v>
      </c>
      <c r="I33" s="504"/>
      <c r="J33" s="505" t="s">
        <v>128</v>
      </c>
      <c r="K33" s="504"/>
      <c r="L33" s="449">
        <v>50000</v>
      </c>
      <c r="M33" s="449"/>
      <c r="N33" s="451" t="s">
        <v>439</v>
      </c>
    </row>
    <row r="34" spans="1:14" ht="56.25">
      <c r="A34" s="36">
        <v>21</v>
      </c>
      <c r="B34" s="36">
        <v>750</v>
      </c>
      <c r="C34" s="36">
        <v>75023</v>
      </c>
      <c r="D34" s="36">
        <v>6050</v>
      </c>
      <c r="E34" s="159" t="s">
        <v>684</v>
      </c>
      <c r="F34" s="450">
        <v>7525620</v>
      </c>
      <c r="G34" s="450">
        <v>100000</v>
      </c>
      <c r="H34" s="503">
        <v>100000</v>
      </c>
      <c r="I34" s="504"/>
      <c r="J34" s="505" t="s">
        <v>128</v>
      </c>
      <c r="K34" s="504"/>
      <c r="L34" s="449">
        <v>2550000</v>
      </c>
      <c r="M34" s="449">
        <v>4550000</v>
      </c>
      <c r="N34" s="451" t="s">
        <v>439</v>
      </c>
    </row>
    <row r="35" spans="1:14" ht="32.25" customHeight="1">
      <c r="A35" s="36">
        <v>22</v>
      </c>
      <c r="B35" s="36">
        <v>754</v>
      </c>
      <c r="C35" s="36">
        <v>75412</v>
      </c>
      <c r="D35" s="36">
        <v>6050</v>
      </c>
      <c r="E35" s="159" t="s">
        <v>635</v>
      </c>
      <c r="F35" s="450">
        <v>1194800</v>
      </c>
      <c r="G35" s="450">
        <v>194800</v>
      </c>
      <c r="H35" s="503">
        <v>194800</v>
      </c>
      <c r="I35" s="504"/>
      <c r="J35" s="505" t="s">
        <v>128</v>
      </c>
      <c r="K35" s="504"/>
      <c r="L35" s="449">
        <v>500000</v>
      </c>
      <c r="M35" s="449">
        <v>500000</v>
      </c>
      <c r="N35" s="451" t="s">
        <v>439</v>
      </c>
    </row>
    <row r="36" spans="1:14" ht="39" customHeight="1">
      <c r="A36" s="36">
        <v>23</v>
      </c>
      <c r="B36" s="36">
        <v>900</v>
      </c>
      <c r="C36" s="36">
        <v>90001</v>
      </c>
      <c r="D36" s="36">
        <v>6050</v>
      </c>
      <c r="E36" s="165" t="s">
        <v>640</v>
      </c>
      <c r="F36" s="450">
        <v>2470000</v>
      </c>
      <c r="G36" s="450">
        <v>2410000</v>
      </c>
      <c r="H36" s="503">
        <v>2410000</v>
      </c>
      <c r="I36" s="504"/>
      <c r="J36" s="505" t="s">
        <v>128</v>
      </c>
      <c r="K36" s="504"/>
      <c r="L36" s="449"/>
      <c r="M36" s="449"/>
      <c r="N36" s="451" t="s">
        <v>439</v>
      </c>
    </row>
    <row r="37" spans="1:14" ht="51">
      <c r="A37" s="36">
        <v>24</v>
      </c>
      <c r="B37" s="36">
        <v>900</v>
      </c>
      <c r="C37" s="36">
        <v>90001</v>
      </c>
      <c r="D37" s="36">
        <v>6050</v>
      </c>
      <c r="E37" s="159" t="s">
        <v>706</v>
      </c>
      <c r="F37" s="450">
        <v>3201934</v>
      </c>
      <c r="G37" s="450">
        <v>3100000</v>
      </c>
      <c r="H37" s="449">
        <v>3100000</v>
      </c>
      <c r="I37" s="504"/>
      <c r="J37" s="505" t="s">
        <v>128</v>
      </c>
      <c r="K37" s="504"/>
      <c r="L37" s="449" t="s">
        <v>25</v>
      </c>
      <c r="M37" s="504" t="s">
        <v>25</v>
      </c>
      <c r="N37" s="451" t="s">
        <v>439</v>
      </c>
    </row>
    <row r="38" spans="1:14" ht="49.5" customHeight="1">
      <c r="A38" s="36">
        <v>25</v>
      </c>
      <c r="B38" s="36">
        <v>900</v>
      </c>
      <c r="C38" s="36">
        <v>90001</v>
      </c>
      <c r="D38" s="36">
        <v>6050</v>
      </c>
      <c r="E38" s="159" t="s">
        <v>707</v>
      </c>
      <c r="F38" s="450">
        <v>6500000</v>
      </c>
      <c r="G38" s="450"/>
      <c r="H38" s="449"/>
      <c r="I38" s="504"/>
      <c r="J38" s="505" t="s">
        <v>128</v>
      </c>
      <c r="K38" s="504"/>
      <c r="L38" s="449">
        <v>4000000</v>
      </c>
      <c r="M38" s="504">
        <v>2500000</v>
      </c>
      <c r="N38" s="451"/>
    </row>
    <row r="39" spans="1:14" ht="28.5" customHeight="1">
      <c r="A39" s="36">
        <v>26</v>
      </c>
      <c r="B39" s="36">
        <v>900</v>
      </c>
      <c r="C39" s="36">
        <v>90015</v>
      </c>
      <c r="D39" s="36">
        <v>6050</v>
      </c>
      <c r="E39" s="159" t="s">
        <v>569</v>
      </c>
      <c r="F39" s="450">
        <v>247165</v>
      </c>
      <c r="G39" s="450">
        <v>200000</v>
      </c>
      <c r="H39" s="449">
        <v>200000</v>
      </c>
      <c r="I39" s="504"/>
      <c r="J39" s="505" t="s">
        <v>128</v>
      </c>
      <c r="K39" s="504"/>
      <c r="L39" s="504"/>
      <c r="M39" s="504"/>
      <c r="N39" s="451" t="s">
        <v>439</v>
      </c>
    </row>
    <row r="40" spans="1:14" ht="37.5" customHeight="1">
      <c r="A40" s="36">
        <v>27</v>
      </c>
      <c r="B40" s="36">
        <v>900</v>
      </c>
      <c r="C40" s="36">
        <v>90015</v>
      </c>
      <c r="D40" s="36">
        <v>6050</v>
      </c>
      <c r="E40" s="159" t="s">
        <v>701</v>
      </c>
      <c r="F40" s="450">
        <v>300000</v>
      </c>
      <c r="G40" s="450">
        <v>38000</v>
      </c>
      <c r="H40" s="449">
        <v>38000</v>
      </c>
      <c r="I40" s="504"/>
      <c r="J40" s="505" t="s">
        <v>128</v>
      </c>
      <c r="K40" s="504"/>
      <c r="L40" s="504"/>
      <c r="M40" s="504">
        <v>262000</v>
      </c>
      <c r="N40" s="451" t="s">
        <v>439</v>
      </c>
    </row>
    <row r="41" spans="1:14" ht="40.5" customHeight="1">
      <c r="A41" s="36">
        <v>28</v>
      </c>
      <c r="B41" s="36">
        <v>926</v>
      </c>
      <c r="C41" s="36">
        <v>92601</v>
      </c>
      <c r="D41" s="36">
        <v>6050</v>
      </c>
      <c r="E41" s="159" t="s">
        <v>637</v>
      </c>
      <c r="F41" s="450">
        <v>500000</v>
      </c>
      <c r="G41" s="450">
        <v>50000</v>
      </c>
      <c r="H41" s="503">
        <v>50000</v>
      </c>
      <c r="I41" s="504"/>
      <c r="J41" s="505" t="s">
        <v>128</v>
      </c>
      <c r="K41" s="504"/>
      <c r="L41" s="449">
        <v>450000</v>
      </c>
      <c r="M41" s="449"/>
      <c r="N41" s="451" t="s">
        <v>439</v>
      </c>
    </row>
    <row r="42" spans="1:14" ht="51.75" customHeight="1">
      <c r="A42" s="36">
        <v>29</v>
      </c>
      <c r="B42" s="36">
        <v>926</v>
      </c>
      <c r="C42" s="36">
        <v>92601</v>
      </c>
      <c r="D42" s="36">
        <v>6050</v>
      </c>
      <c r="E42" s="159" t="s">
        <v>715</v>
      </c>
      <c r="F42" s="450">
        <v>569274</v>
      </c>
      <c r="G42" s="450">
        <v>36000</v>
      </c>
      <c r="H42" s="503">
        <v>36000</v>
      </c>
      <c r="I42" s="504"/>
      <c r="J42" s="505" t="s">
        <v>128</v>
      </c>
      <c r="K42" s="504"/>
      <c r="L42" s="449"/>
      <c r="M42" s="449"/>
      <c r="N42" s="451" t="s">
        <v>439</v>
      </c>
    </row>
    <row r="43" spans="1:14" ht="51">
      <c r="A43" s="36">
        <v>30</v>
      </c>
      <c r="B43" s="36">
        <v>926</v>
      </c>
      <c r="C43" s="36">
        <v>92601</v>
      </c>
      <c r="D43" s="36">
        <v>6050</v>
      </c>
      <c r="E43" s="159" t="s">
        <v>708</v>
      </c>
      <c r="F43" s="450">
        <v>25200000</v>
      </c>
      <c r="G43" s="450">
        <v>200000</v>
      </c>
      <c r="H43" s="503">
        <v>200000</v>
      </c>
      <c r="I43" s="504"/>
      <c r="J43" s="505" t="s">
        <v>128</v>
      </c>
      <c r="K43" s="504"/>
      <c r="L43" s="449">
        <v>10000000</v>
      </c>
      <c r="M43" s="449">
        <v>10000000</v>
      </c>
      <c r="N43" s="451" t="s">
        <v>439</v>
      </c>
    </row>
    <row r="44" spans="1:14" ht="42" customHeight="1">
      <c r="A44" s="36">
        <v>31</v>
      </c>
      <c r="B44" s="162">
        <v>926</v>
      </c>
      <c r="C44" s="162">
        <v>92601</v>
      </c>
      <c r="D44" s="162">
        <v>6050</v>
      </c>
      <c r="E44" s="163" t="s">
        <v>589</v>
      </c>
      <c r="F44" s="506">
        <v>550000</v>
      </c>
      <c r="G44" s="506"/>
      <c r="H44" s="507"/>
      <c r="I44" s="508"/>
      <c r="J44" s="509" t="s">
        <v>128</v>
      </c>
      <c r="K44" s="508"/>
      <c r="L44" s="510">
        <v>550000</v>
      </c>
      <c r="M44" s="510"/>
      <c r="N44" s="511" t="s">
        <v>439</v>
      </c>
    </row>
    <row r="45" spans="1:14" ht="12.75">
      <c r="A45" s="692" t="s">
        <v>121</v>
      </c>
      <c r="B45" s="692"/>
      <c r="C45" s="692"/>
      <c r="D45" s="692"/>
      <c r="E45" s="692"/>
      <c r="F45" s="453">
        <f>SUM(F14:F44)</f>
        <v>85497959</v>
      </c>
      <c r="G45" s="453">
        <f>SUM(G14:G44)</f>
        <v>9211800</v>
      </c>
      <c r="H45" s="453">
        <f>SUM(H14:H44)</f>
        <v>9211800</v>
      </c>
      <c r="I45" s="166"/>
      <c r="J45" s="166"/>
      <c r="K45" s="166"/>
      <c r="L45" s="453">
        <f>SUM(L14:L44)</f>
        <v>36286000</v>
      </c>
      <c r="M45" s="453">
        <f>SUM(M14:M44)</f>
        <v>33779000</v>
      </c>
      <c r="N45" s="64" t="s">
        <v>49</v>
      </c>
    </row>
    <row r="46" spans="1:14" ht="12.75">
      <c r="A46" s="454"/>
      <c r="B46" s="455"/>
      <c r="C46" s="455"/>
      <c r="D46" s="455"/>
      <c r="E46" s="456"/>
      <c r="F46" s="455"/>
      <c r="G46" s="455"/>
      <c r="H46" s="455"/>
      <c r="I46" s="456"/>
      <c r="J46" s="456"/>
      <c r="K46" s="456"/>
      <c r="L46" s="455"/>
      <c r="M46" s="455"/>
      <c r="N46" s="457"/>
    </row>
    <row r="47" spans="1:14" ht="12.75">
      <c r="A47" s="168" t="s">
        <v>69</v>
      </c>
      <c r="B47" s="4"/>
      <c r="C47" s="4"/>
      <c r="D47" s="4"/>
      <c r="E47" s="5"/>
      <c r="F47" s="4"/>
      <c r="G47" s="4"/>
      <c r="H47" s="4"/>
      <c r="I47" s="5"/>
      <c r="J47" s="5"/>
      <c r="K47" s="5"/>
      <c r="L47" s="4"/>
      <c r="M47" s="4"/>
      <c r="N47" s="169"/>
    </row>
    <row r="48" spans="1:14" ht="12.75">
      <c r="A48" s="168" t="s">
        <v>66</v>
      </c>
      <c r="B48" s="4"/>
      <c r="C48" s="4"/>
      <c r="D48" s="4"/>
      <c r="E48" s="5"/>
      <c r="F48" s="4"/>
      <c r="G48" s="4"/>
      <c r="H48" s="4"/>
      <c r="I48" s="5"/>
      <c r="J48" s="5"/>
      <c r="K48" s="5" t="s">
        <v>25</v>
      </c>
      <c r="L48" s="4"/>
      <c r="M48" s="4"/>
      <c r="N48" s="169"/>
    </row>
    <row r="49" spans="1:14" ht="12.75">
      <c r="A49" s="168" t="s">
        <v>67</v>
      </c>
      <c r="B49" s="4"/>
      <c r="C49" s="4"/>
      <c r="D49" s="4"/>
      <c r="E49" s="5"/>
      <c r="F49" s="4"/>
      <c r="G49" s="4"/>
      <c r="H49" s="4"/>
      <c r="I49" s="5"/>
      <c r="J49" s="5"/>
      <c r="K49" s="5" t="s">
        <v>25</v>
      </c>
      <c r="L49" s="4"/>
      <c r="M49" s="4"/>
      <c r="N49" s="169"/>
    </row>
    <row r="50" spans="1:14" ht="12.75">
      <c r="A50" s="168" t="s">
        <v>68</v>
      </c>
      <c r="B50" s="4"/>
      <c r="C50" s="4"/>
      <c r="D50" s="4"/>
      <c r="E50" s="5"/>
      <c r="F50" s="4"/>
      <c r="G50" s="4"/>
      <c r="H50" s="4"/>
      <c r="I50" s="5"/>
      <c r="J50" s="5"/>
      <c r="K50" s="5"/>
      <c r="L50" s="4"/>
      <c r="M50" s="4"/>
      <c r="N50" s="169"/>
    </row>
    <row r="51" spans="1:14" ht="7.5" customHeight="1">
      <c r="A51" s="168"/>
      <c r="B51" s="4"/>
      <c r="C51" s="4"/>
      <c r="D51" s="4"/>
      <c r="E51" s="5"/>
      <c r="F51" s="4"/>
      <c r="G51" s="4"/>
      <c r="H51" s="4"/>
      <c r="I51" s="5"/>
      <c r="J51" s="5"/>
      <c r="K51" s="5" t="s">
        <v>25</v>
      </c>
      <c r="L51" s="4" t="s">
        <v>306</v>
      </c>
      <c r="M51" s="4"/>
      <c r="N51" s="169"/>
    </row>
    <row r="52" spans="1:14" ht="12.75" hidden="1">
      <c r="A52" s="170" t="s">
        <v>25</v>
      </c>
      <c r="B52" s="458" t="s">
        <v>25</v>
      </c>
      <c r="C52" s="458" t="s">
        <v>25</v>
      </c>
      <c r="D52" s="458" t="s">
        <v>25</v>
      </c>
      <c r="E52" s="97" t="s">
        <v>25</v>
      </c>
      <c r="F52" s="458"/>
      <c r="G52" s="458"/>
      <c r="H52" s="458"/>
      <c r="I52" s="97"/>
      <c r="J52" s="97"/>
      <c r="K52" s="97"/>
      <c r="L52" s="458"/>
      <c r="M52" s="458"/>
      <c r="N52" s="171"/>
    </row>
    <row r="53" spans="1:14" ht="12.75" hidden="1">
      <c r="A53" s="168"/>
      <c r="B53" s="4"/>
      <c r="C53" s="4"/>
      <c r="D53" s="4"/>
      <c r="E53" s="5"/>
      <c r="F53" s="4"/>
      <c r="G53" s="4"/>
      <c r="H53" s="4"/>
      <c r="I53" s="5"/>
      <c r="J53" s="5"/>
      <c r="K53" s="5"/>
      <c r="L53" s="4"/>
      <c r="M53" s="4"/>
      <c r="N53" s="169"/>
    </row>
    <row r="54" spans="1:14" ht="12.75">
      <c r="A54" s="170" t="s">
        <v>25</v>
      </c>
      <c r="B54" s="458" t="s">
        <v>25</v>
      </c>
      <c r="C54" s="458" t="s">
        <v>25</v>
      </c>
      <c r="D54" s="458" t="s">
        <v>25</v>
      </c>
      <c r="E54" s="97" t="s">
        <v>25</v>
      </c>
      <c r="F54" s="458"/>
      <c r="G54" s="458"/>
      <c r="H54" s="458"/>
      <c r="I54" s="97"/>
      <c r="J54" s="97"/>
      <c r="K54" s="97"/>
      <c r="L54" s="458"/>
      <c r="M54" s="458"/>
      <c r="N54" s="171"/>
    </row>
  </sheetData>
  <sheetProtection/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D8:D12"/>
    <mergeCell ref="A45:E45"/>
    <mergeCell ref="M9:M12"/>
    <mergeCell ref="L9:L12"/>
    <mergeCell ref="H9:K9"/>
    <mergeCell ref="H10:H12"/>
    <mergeCell ref="I10:I12"/>
    <mergeCell ref="J10:J12"/>
    <mergeCell ref="K10:K12"/>
  </mergeCells>
  <printOptions horizontalCentered="1"/>
  <pageMargins left="0.5" right="0.3937007874015748" top="0.54" bottom="0.43" header="0.26" footer="0.18"/>
  <pageSetup horizontalDpi="600" verticalDpi="600" orientation="landscape" paperSize="9" scale="93" r:id="rId1"/>
  <headerFooter alignWithMargins="0">
    <oddFooter>&amp;C&amp;P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GridLines="0" tabSelected="1" view="pageBreakPreview" zoomScaleSheetLayoutView="100" workbookViewId="0" topLeftCell="A1">
      <selection activeCell="J4" sqref="J4"/>
    </sheetView>
  </sheetViews>
  <sheetFormatPr defaultColWidth="9.00390625" defaultRowHeight="12.75"/>
  <cols>
    <col min="1" max="1" width="5.625" style="1" customWidth="1"/>
    <col min="2" max="2" width="6.875" style="3" customWidth="1"/>
    <col min="3" max="3" width="7.75390625" style="3" customWidth="1"/>
    <col min="4" max="4" width="5.375" style="3" customWidth="1"/>
    <col min="5" max="5" width="18.00390625" style="1" customWidth="1"/>
    <col min="6" max="6" width="14.625" style="1" customWidth="1"/>
    <col min="7" max="7" width="14.375" style="1" customWidth="1"/>
    <col min="8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ht="12.75">
      <c r="J1" t="s">
        <v>664</v>
      </c>
    </row>
    <row r="2" ht="12.75">
      <c r="J2" t="s">
        <v>719</v>
      </c>
    </row>
    <row r="3" ht="12.75">
      <c r="J3" t="s">
        <v>186</v>
      </c>
    </row>
    <row r="4" ht="12.75">
      <c r="J4" t="s">
        <v>720</v>
      </c>
    </row>
    <row r="5" spans="1:11" ht="18">
      <c r="A5" s="695" t="s">
        <v>550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</row>
    <row r="6" spans="1:11" ht="18">
      <c r="A6" s="16"/>
      <c r="B6" s="16"/>
      <c r="C6" s="16"/>
      <c r="D6" s="16"/>
      <c r="E6" s="16"/>
      <c r="F6" s="16"/>
      <c r="G6" s="16"/>
      <c r="H6" s="16"/>
      <c r="I6" s="16"/>
      <c r="J6" s="16"/>
      <c r="K6" s="10" t="s">
        <v>43</v>
      </c>
    </row>
    <row r="7" spans="1:11" s="49" customFormat="1" ht="12.75" customHeight="1">
      <c r="A7" s="696" t="s">
        <v>61</v>
      </c>
      <c r="B7" s="696" t="s">
        <v>2</v>
      </c>
      <c r="C7" s="696" t="s">
        <v>42</v>
      </c>
      <c r="D7" s="696" t="s">
        <v>125</v>
      </c>
      <c r="E7" s="693" t="s">
        <v>129</v>
      </c>
      <c r="F7" s="693" t="s">
        <v>73</v>
      </c>
      <c r="G7" s="693"/>
      <c r="H7" s="693"/>
      <c r="I7" s="693"/>
      <c r="J7" s="693"/>
      <c r="K7" s="693" t="s">
        <v>126</v>
      </c>
    </row>
    <row r="8" spans="1:11" s="49" customFormat="1" ht="12.75">
      <c r="A8" s="696"/>
      <c r="B8" s="696"/>
      <c r="C8" s="696"/>
      <c r="D8" s="696"/>
      <c r="E8" s="693"/>
      <c r="F8" s="693" t="s">
        <v>590</v>
      </c>
      <c r="G8" s="693" t="s">
        <v>172</v>
      </c>
      <c r="H8" s="693"/>
      <c r="I8" s="693"/>
      <c r="J8" s="693"/>
      <c r="K8" s="693"/>
    </row>
    <row r="9" spans="1:11" s="49" customFormat="1" ht="12.75">
      <c r="A9" s="696"/>
      <c r="B9" s="696"/>
      <c r="C9" s="696"/>
      <c r="D9" s="696"/>
      <c r="E9" s="693"/>
      <c r="F9" s="693"/>
      <c r="G9" s="693" t="s">
        <v>127</v>
      </c>
      <c r="H9" s="693" t="s">
        <v>441</v>
      </c>
      <c r="I9" s="693" t="s">
        <v>130</v>
      </c>
      <c r="J9" s="693" t="s">
        <v>110</v>
      </c>
      <c r="K9" s="693"/>
    </row>
    <row r="10" spans="1:11" s="49" customFormat="1" ht="12.75">
      <c r="A10" s="696"/>
      <c r="B10" s="696"/>
      <c r="C10" s="696"/>
      <c r="D10" s="696"/>
      <c r="E10" s="693"/>
      <c r="F10" s="693"/>
      <c r="G10" s="693"/>
      <c r="H10" s="693"/>
      <c r="I10" s="693"/>
      <c r="J10" s="693"/>
      <c r="K10" s="693"/>
    </row>
    <row r="11" spans="1:11" s="49" customFormat="1" ht="12.75">
      <c r="A11" s="696"/>
      <c r="B11" s="696"/>
      <c r="C11" s="696"/>
      <c r="D11" s="696"/>
      <c r="E11" s="693"/>
      <c r="F11" s="693"/>
      <c r="G11" s="693"/>
      <c r="H11" s="693"/>
      <c r="I11" s="693"/>
      <c r="J11" s="693"/>
      <c r="K11" s="693"/>
    </row>
    <row r="12" spans="1:11" ht="12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</row>
    <row r="13" spans="1:11" ht="51">
      <c r="A13" s="463">
        <v>1</v>
      </c>
      <c r="B13" s="463">
        <v>600</v>
      </c>
      <c r="C13" s="463">
        <v>60014</v>
      </c>
      <c r="D13" s="463">
        <v>6300</v>
      </c>
      <c r="E13" s="638" t="s">
        <v>674</v>
      </c>
      <c r="F13" s="640">
        <v>991869</v>
      </c>
      <c r="G13" s="640">
        <v>991869</v>
      </c>
      <c r="H13" s="463"/>
      <c r="I13" s="639" t="s">
        <v>128</v>
      </c>
      <c r="J13" s="463"/>
      <c r="K13" s="141" t="s">
        <v>439</v>
      </c>
    </row>
    <row r="14" spans="1:11" ht="51">
      <c r="A14" s="463">
        <v>2</v>
      </c>
      <c r="B14" s="463">
        <v>600</v>
      </c>
      <c r="C14" s="463">
        <v>60014</v>
      </c>
      <c r="D14" s="463">
        <v>6300</v>
      </c>
      <c r="E14" s="638" t="s">
        <v>709</v>
      </c>
      <c r="F14" s="640">
        <v>200000</v>
      </c>
      <c r="G14" s="640">
        <v>200000</v>
      </c>
      <c r="H14" s="463"/>
      <c r="I14" s="639" t="s">
        <v>128</v>
      </c>
      <c r="J14" s="463"/>
      <c r="K14" s="141" t="s">
        <v>439</v>
      </c>
    </row>
    <row r="15" spans="1:11" ht="33" customHeight="1">
      <c r="A15" s="495">
        <v>3</v>
      </c>
      <c r="B15" s="495">
        <v>600</v>
      </c>
      <c r="C15" s="495">
        <v>60016</v>
      </c>
      <c r="D15" s="495">
        <v>6050</v>
      </c>
      <c r="E15" s="496" t="s">
        <v>623</v>
      </c>
      <c r="F15" s="552">
        <v>500000</v>
      </c>
      <c r="G15" s="552">
        <v>500000</v>
      </c>
      <c r="H15" s="23"/>
      <c r="I15" s="73" t="s">
        <v>128</v>
      </c>
      <c r="J15" s="23"/>
      <c r="K15" s="23" t="s">
        <v>439</v>
      </c>
    </row>
    <row r="16" spans="1:11" ht="30" customHeight="1">
      <c r="A16" s="36">
        <v>4</v>
      </c>
      <c r="B16" s="36">
        <v>600</v>
      </c>
      <c r="C16" s="36">
        <v>60016</v>
      </c>
      <c r="D16" s="36">
        <v>6050</v>
      </c>
      <c r="E16" s="159" t="s">
        <v>567</v>
      </c>
      <c r="F16" s="160">
        <v>30000</v>
      </c>
      <c r="G16" s="160">
        <v>30000</v>
      </c>
      <c r="H16" s="24"/>
      <c r="I16" s="161" t="s">
        <v>128</v>
      </c>
      <c r="J16" s="24"/>
      <c r="K16" s="24" t="s">
        <v>439</v>
      </c>
    </row>
    <row r="17" spans="1:11" ht="33" customHeight="1">
      <c r="A17" s="36">
        <v>5</v>
      </c>
      <c r="B17" s="36">
        <v>600</v>
      </c>
      <c r="C17" s="36">
        <v>60016</v>
      </c>
      <c r="D17" s="36">
        <v>6050</v>
      </c>
      <c r="E17" s="159" t="s">
        <v>568</v>
      </c>
      <c r="F17" s="160">
        <v>50000</v>
      </c>
      <c r="G17" s="160">
        <v>50000</v>
      </c>
      <c r="H17" s="24"/>
      <c r="I17" s="161" t="s">
        <v>128</v>
      </c>
      <c r="J17" s="24"/>
      <c r="K17" s="24" t="s">
        <v>439</v>
      </c>
    </row>
    <row r="18" spans="1:11" ht="78.75">
      <c r="A18" s="36">
        <v>6</v>
      </c>
      <c r="B18" s="36">
        <v>600</v>
      </c>
      <c r="C18" s="36">
        <v>60016</v>
      </c>
      <c r="D18" s="36">
        <v>6050</v>
      </c>
      <c r="E18" s="159" t="s">
        <v>690</v>
      </c>
      <c r="F18" s="160">
        <v>45000</v>
      </c>
      <c r="G18" s="160">
        <v>45000</v>
      </c>
      <c r="H18" s="24"/>
      <c r="I18" s="161" t="s">
        <v>128</v>
      </c>
      <c r="J18" s="24"/>
      <c r="K18" s="24" t="s">
        <v>439</v>
      </c>
    </row>
    <row r="19" spans="1:11" ht="51">
      <c r="A19" s="36">
        <v>7</v>
      </c>
      <c r="B19" s="36">
        <v>600</v>
      </c>
      <c r="C19" s="36">
        <v>60016</v>
      </c>
      <c r="D19" s="36">
        <v>6050</v>
      </c>
      <c r="E19" s="159" t="s">
        <v>639</v>
      </c>
      <c r="F19" s="160">
        <v>500000</v>
      </c>
      <c r="G19" s="160">
        <v>500000</v>
      </c>
      <c r="H19" s="24"/>
      <c r="I19" s="161" t="s">
        <v>128</v>
      </c>
      <c r="J19" s="24"/>
      <c r="K19" s="24" t="s">
        <v>439</v>
      </c>
    </row>
    <row r="20" spans="1:11" ht="42.75" customHeight="1">
      <c r="A20" s="36">
        <v>8</v>
      </c>
      <c r="B20" s="36">
        <v>600</v>
      </c>
      <c r="C20" s="36">
        <v>60016</v>
      </c>
      <c r="D20" s="36">
        <v>6050</v>
      </c>
      <c r="E20" s="159" t="s">
        <v>663</v>
      </c>
      <c r="F20" s="160">
        <v>100000</v>
      </c>
      <c r="G20" s="160">
        <v>100000</v>
      </c>
      <c r="H20" s="24"/>
      <c r="I20" s="161" t="s">
        <v>128</v>
      </c>
      <c r="J20" s="24"/>
      <c r="K20" s="24" t="s">
        <v>439</v>
      </c>
    </row>
    <row r="21" spans="1:11" ht="33" customHeight="1">
      <c r="A21" s="36">
        <v>9</v>
      </c>
      <c r="B21" s="36">
        <v>600</v>
      </c>
      <c r="C21" s="36">
        <v>60016</v>
      </c>
      <c r="D21" s="36">
        <v>6050</v>
      </c>
      <c r="E21" s="636" t="s">
        <v>654</v>
      </c>
      <c r="F21" s="160">
        <v>50000</v>
      </c>
      <c r="G21" s="160">
        <f>+F21</f>
        <v>50000</v>
      </c>
      <c r="H21" s="24"/>
      <c r="I21" s="161" t="s">
        <v>128</v>
      </c>
      <c r="J21" s="24"/>
      <c r="K21" s="24" t="s">
        <v>439</v>
      </c>
    </row>
    <row r="22" spans="1:11" ht="32.25" customHeight="1">
      <c r="A22" s="36">
        <v>10</v>
      </c>
      <c r="B22" s="36">
        <v>600</v>
      </c>
      <c r="C22" s="36">
        <v>60016</v>
      </c>
      <c r="D22" s="36">
        <v>6050</v>
      </c>
      <c r="E22" s="636" t="s">
        <v>655</v>
      </c>
      <c r="F22" s="160">
        <v>50000</v>
      </c>
      <c r="G22" s="160">
        <f>+F22</f>
        <v>50000</v>
      </c>
      <c r="H22" s="24"/>
      <c r="I22" s="161" t="s">
        <v>128</v>
      </c>
      <c r="J22" s="24"/>
      <c r="K22" s="24" t="s">
        <v>439</v>
      </c>
    </row>
    <row r="23" spans="1:11" ht="39" customHeight="1">
      <c r="A23" s="36">
        <v>11</v>
      </c>
      <c r="B23" s="36">
        <v>600</v>
      </c>
      <c r="C23" s="36">
        <v>60016</v>
      </c>
      <c r="D23" s="36">
        <v>6050</v>
      </c>
      <c r="E23" s="636" t="s">
        <v>716</v>
      </c>
      <c r="F23" s="160">
        <v>100000</v>
      </c>
      <c r="G23" s="160">
        <v>100000</v>
      </c>
      <c r="H23" s="24"/>
      <c r="I23" s="161" t="s">
        <v>128</v>
      </c>
      <c r="J23" s="24"/>
      <c r="K23" s="24" t="s">
        <v>439</v>
      </c>
    </row>
    <row r="24" spans="1:11" ht="23.25" customHeight="1">
      <c r="A24" s="36">
        <v>12</v>
      </c>
      <c r="B24" s="36">
        <v>700</v>
      </c>
      <c r="C24" s="36">
        <v>70005</v>
      </c>
      <c r="D24" s="36">
        <v>6060</v>
      </c>
      <c r="E24" s="159" t="s">
        <v>656</v>
      </c>
      <c r="F24" s="160">
        <v>20000</v>
      </c>
      <c r="G24" s="160">
        <f>+F24</f>
        <v>20000</v>
      </c>
      <c r="H24" s="24"/>
      <c r="I24" s="161" t="s">
        <v>128</v>
      </c>
      <c r="J24" s="24"/>
      <c r="K24" s="24" t="s">
        <v>439</v>
      </c>
    </row>
    <row r="25" spans="1:11" ht="42.75" customHeight="1">
      <c r="A25" s="36">
        <v>13</v>
      </c>
      <c r="B25" s="36">
        <v>700</v>
      </c>
      <c r="C25" s="36">
        <v>70005</v>
      </c>
      <c r="D25" s="36">
        <v>6060</v>
      </c>
      <c r="E25" s="637" t="s">
        <v>691</v>
      </c>
      <c r="F25" s="160">
        <v>262203</v>
      </c>
      <c r="G25" s="160">
        <f>+F25</f>
        <v>262203</v>
      </c>
      <c r="H25" s="24"/>
      <c r="I25" s="161" t="s">
        <v>128</v>
      </c>
      <c r="J25" s="24"/>
      <c r="K25" s="24" t="s">
        <v>439</v>
      </c>
    </row>
    <row r="26" spans="1:11" ht="24.75" customHeight="1">
      <c r="A26" s="36">
        <v>14</v>
      </c>
      <c r="B26" s="36">
        <v>700</v>
      </c>
      <c r="C26" s="36">
        <v>70021</v>
      </c>
      <c r="D26" s="36">
        <v>6010</v>
      </c>
      <c r="E26" s="637" t="s">
        <v>692</v>
      </c>
      <c r="F26" s="160">
        <v>800000</v>
      </c>
      <c r="G26" s="160">
        <f>+F26</f>
        <v>800000</v>
      </c>
      <c r="H26" s="24"/>
      <c r="I26" s="161" t="s">
        <v>128</v>
      </c>
      <c r="J26" s="24"/>
      <c r="K26" s="24" t="s">
        <v>439</v>
      </c>
    </row>
    <row r="27" spans="1:11" ht="29.25" customHeight="1">
      <c r="A27" s="36">
        <v>15</v>
      </c>
      <c r="B27" s="36">
        <v>700</v>
      </c>
      <c r="C27" s="36">
        <v>70095</v>
      </c>
      <c r="D27" s="36">
        <v>6050</v>
      </c>
      <c r="E27" s="159" t="s">
        <v>440</v>
      </c>
      <c r="F27" s="160">
        <v>1000000</v>
      </c>
      <c r="G27" s="160">
        <v>1000000</v>
      </c>
      <c r="H27" s="24"/>
      <c r="I27" s="161" t="s">
        <v>128</v>
      </c>
      <c r="J27" s="24"/>
      <c r="K27" s="24" t="s">
        <v>439</v>
      </c>
    </row>
    <row r="28" spans="1:11" ht="56.25">
      <c r="A28" s="36">
        <v>16</v>
      </c>
      <c r="B28" s="36">
        <v>700</v>
      </c>
      <c r="C28" s="36">
        <v>70095</v>
      </c>
      <c r="D28" s="36">
        <v>6050</v>
      </c>
      <c r="E28" s="159" t="s">
        <v>675</v>
      </c>
      <c r="F28" s="160">
        <v>105000</v>
      </c>
      <c r="G28" s="160">
        <v>105000</v>
      </c>
      <c r="H28" s="24"/>
      <c r="I28" s="161" t="s">
        <v>128</v>
      </c>
      <c r="J28" s="24"/>
      <c r="K28" s="24" t="s">
        <v>439</v>
      </c>
    </row>
    <row r="29" spans="1:11" ht="90">
      <c r="A29" s="36">
        <v>17</v>
      </c>
      <c r="B29" s="36">
        <v>700</v>
      </c>
      <c r="C29" s="36">
        <v>70095</v>
      </c>
      <c r="D29" s="36">
        <v>6050</v>
      </c>
      <c r="E29" s="159" t="s">
        <v>676</v>
      </c>
      <c r="F29" s="160">
        <v>48000</v>
      </c>
      <c r="G29" s="160">
        <v>48000</v>
      </c>
      <c r="H29" s="24"/>
      <c r="I29" s="161" t="s">
        <v>128</v>
      </c>
      <c r="J29" s="24"/>
      <c r="K29" s="24" t="s">
        <v>439</v>
      </c>
    </row>
    <row r="30" spans="1:11" ht="56.25">
      <c r="A30" s="36">
        <v>18</v>
      </c>
      <c r="B30" s="36">
        <v>700</v>
      </c>
      <c r="C30" s="36">
        <v>70095</v>
      </c>
      <c r="D30" s="36">
        <v>6050</v>
      </c>
      <c r="E30" s="159" t="s">
        <v>667</v>
      </c>
      <c r="F30" s="160">
        <v>100000</v>
      </c>
      <c r="G30" s="160">
        <v>100000</v>
      </c>
      <c r="H30" s="553"/>
      <c r="I30" s="161" t="s">
        <v>128</v>
      </c>
      <c r="J30" s="24"/>
      <c r="K30" s="24" t="s">
        <v>439</v>
      </c>
    </row>
    <row r="31" spans="1:11" ht="78.75">
      <c r="A31" s="36">
        <v>19</v>
      </c>
      <c r="B31" s="36">
        <v>700</v>
      </c>
      <c r="C31" s="36">
        <v>70095</v>
      </c>
      <c r="D31" s="36">
        <v>6050</v>
      </c>
      <c r="E31" s="159" t="s">
        <v>678</v>
      </c>
      <c r="F31" s="160">
        <v>16000</v>
      </c>
      <c r="G31" s="160">
        <v>16000</v>
      </c>
      <c r="H31" s="553"/>
      <c r="I31" s="161" t="s">
        <v>128</v>
      </c>
      <c r="J31" s="24"/>
      <c r="K31" s="24" t="s">
        <v>439</v>
      </c>
    </row>
    <row r="32" spans="1:11" ht="42.75" customHeight="1">
      <c r="A32" s="36">
        <v>20</v>
      </c>
      <c r="B32" s="36">
        <v>700</v>
      </c>
      <c r="C32" s="36">
        <v>70095</v>
      </c>
      <c r="D32" s="36">
        <v>6050</v>
      </c>
      <c r="E32" s="159" t="s">
        <v>677</v>
      </c>
      <c r="F32" s="160">
        <v>36000</v>
      </c>
      <c r="G32" s="160">
        <v>36000</v>
      </c>
      <c r="H32" s="553"/>
      <c r="I32" s="161" t="s">
        <v>128</v>
      </c>
      <c r="J32" s="24"/>
      <c r="K32" s="24" t="s">
        <v>439</v>
      </c>
    </row>
    <row r="33" spans="1:11" ht="83.25" customHeight="1">
      <c r="A33" s="36">
        <v>21</v>
      </c>
      <c r="B33" s="36">
        <v>700</v>
      </c>
      <c r="C33" s="36">
        <v>70095</v>
      </c>
      <c r="D33" s="36">
        <v>6050</v>
      </c>
      <c r="E33" s="159" t="s">
        <v>679</v>
      </c>
      <c r="F33" s="160">
        <v>40000</v>
      </c>
      <c r="G33" s="160">
        <v>40000</v>
      </c>
      <c r="H33" s="553"/>
      <c r="I33" s="161" t="s">
        <v>128</v>
      </c>
      <c r="J33" s="24"/>
      <c r="K33" s="24" t="s">
        <v>439</v>
      </c>
    </row>
    <row r="34" spans="1:11" ht="78.75">
      <c r="A34" s="36">
        <v>22</v>
      </c>
      <c r="B34" s="36">
        <v>700</v>
      </c>
      <c r="C34" s="36">
        <v>70095</v>
      </c>
      <c r="D34" s="36">
        <v>6050</v>
      </c>
      <c r="E34" s="159" t="s">
        <v>680</v>
      </c>
      <c r="F34" s="160">
        <v>64000</v>
      </c>
      <c r="G34" s="160">
        <v>64000</v>
      </c>
      <c r="H34" s="553"/>
      <c r="I34" s="161" t="s">
        <v>128</v>
      </c>
      <c r="J34" s="24"/>
      <c r="K34" s="24" t="s">
        <v>439</v>
      </c>
    </row>
    <row r="35" spans="1:11" ht="78.75">
      <c r="A35" s="36">
        <v>23</v>
      </c>
      <c r="B35" s="36">
        <v>700</v>
      </c>
      <c r="C35" s="36">
        <v>70095</v>
      </c>
      <c r="D35" s="36">
        <v>6050</v>
      </c>
      <c r="E35" s="159" t="s">
        <v>687</v>
      </c>
      <c r="F35" s="160">
        <v>40000</v>
      </c>
      <c r="G35" s="160">
        <v>40000</v>
      </c>
      <c r="H35" s="553"/>
      <c r="I35" s="161" t="s">
        <v>128</v>
      </c>
      <c r="J35" s="24"/>
      <c r="K35" s="24" t="s">
        <v>439</v>
      </c>
    </row>
    <row r="36" spans="1:11" ht="90">
      <c r="A36" s="36">
        <v>24</v>
      </c>
      <c r="B36" s="36">
        <v>700</v>
      </c>
      <c r="C36" s="36">
        <v>70095</v>
      </c>
      <c r="D36" s="36">
        <v>6050</v>
      </c>
      <c r="E36" s="159" t="s">
        <v>681</v>
      </c>
      <c r="F36" s="160">
        <v>37000</v>
      </c>
      <c r="G36" s="160">
        <v>37000</v>
      </c>
      <c r="H36" s="553"/>
      <c r="I36" s="161" t="s">
        <v>128</v>
      </c>
      <c r="J36" s="24"/>
      <c r="K36" s="24" t="s">
        <v>439</v>
      </c>
    </row>
    <row r="37" spans="1:11" ht="56.25">
      <c r="A37" s="36">
        <v>25</v>
      </c>
      <c r="B37" s="36">
        <v>700</v>
      </c>
      <c r="C37" s="36">
        <v>70095</v>
      </c>
      <c r="D37" s="36">
        <v>6050</v>
      </c>
      <c r="E37" s="159" t="s">
        <v>682</v>
      </c>
      <c r="F37" s="160">
        <v>50000</v>
      </c>
      <c r="G37" s="160">
        <v>50000</v>
      </c>
      <c r="H37" s="553"/>
      <c r="I37" s="161" t="s">
        <v>128</v>
      </c>
      <c r="J37" s="24"/>
      <c r="K37" s="24" t="s">
        <v>439</v>
      </c>
    </row>
    <row r="38" spans="1:11" ht="67.5">
      <c r="A38" s="36">
        <v>26</v>
      </c>
      <c r="B38" s="36">
        <v>700</v>
      </c>
      <c r="C38" s="36">
        <v>70095</v>
      </c>
      <c r="D38" s="36">
        <v>6050</v>
      </c>
      <c r="E38" s="159" t="s">
        <v>683</v>
      </c>
      <c r="F38" s="160">
        <v>51000</v>
      </c>
      <c r="G38" s="160">
        <v>51000</v>
      </c>
      <c r="H38" s="553"/>
      <c r="I38" s="161" t="s">
        <v>128</v>
      </c>
      <c r="J38" s="24"/>
      <c r="K38" s="24" t="s">
        <v>439</v>
      </c>
    </row>
    <row r="39" spans="1:11" ht="78.75">
      <c r="A39" s="36">
        <v>27</v>
      </c>
      <c r="B39" s="36">
        <v>700</v>
      </c>
      <c r="C39" s="36">
        <v>70095</v>
      </c>
      <c r="D39" s="36">
        <v>6050</v>
      </c>
      <c r="E39" s="159" t="s">
        <v>704</v>
      </c>
      <c r="F39" s="160">
        <v>21000</v>
      </c>
      <c r="G39" s="160">
        <v>21000</v>
      </c>
      <c r="H39" s="553"/>
      <c r="I39" s="161" t="s">
        <v>128</v>
      </c>
      <c r="J39" s="24"/>
      <c r="K39" s="24" t="s">
        <v>439</v>
      </c>
    </row>
    <row r="40" spans="1:11" ht="40.5" customHeight="1">
      <c r="A40" s="36">
        <v>28</v>
      </c>
      <c r="B40" s="36">
        <v>700</v>
      </c>
      <c r="C40" s="36">
        <v>70095</v>
      </c>
      <c r="D40" s="36">
        <v>6060</v>
      </c>
      <c r="E40" s="159" t="s">
        <v>717</v>
      </c>
      <c r="F40" s="160">
        <v>27000</v>
      </c>
      <c r="G40" s="160">
        <v>27000</v>
      </c>
      <c r="H40" s="553"/>
      <c r="I40" s="161" t="s">
        <v>128</v>
      </c>
      <c r="J40" s="24"/>
      <c r="K40" s="24" t="s">
        <v>439</v>
      </c>
    </row>
    <row r="41" spans="1:11" ht="51">
      <c r="A41" s="36">
        <v>29</v>
      </c>
      <c r="B41" s="36">
        <v>700</v>
      </c>
      <c r="C41" s="36">
        <v>70095</v>
      </c>
      <c r="D41" s="36">
        <v>6050</v>
      </c>
      <c r="E41" s="159" t="s">
        <v>718</v>
      </c>
      <c r="F41" s="160">
        <v>180000</v>
      </c>
      <c r="G41" s="160">
        <v>180000</v>
      </c>
      <c r="H41" s="553"/>
      <c r="I41" s="161" t="s">
        <v>128</v>
      </c>
      <c r="J41" s="24"/>
      <c r="K41" s="24" t="s">
        <v>439</v>
      </c>
    </row>
    <row r="42" spans="1:11" ht="42.75" customHeight="1">
      <c r="A42" s="36">
        <v>30</v>
      </c>
      <c r="B42" s="36">
        <v>700</v>
      </c>
      <c r="C42" s="36">
        <v>70095</v>
      </c>
      <c r="D42" s="36">
        <v>6060</v>
      </c>
      <c r="E42" s="159" t="s">
        <v>713</v>
      </c>
      <c r="F42" s="160">
        <v>9300</v>
      </c>
      <c r="G42" s="160">
        <v>9300</v>
      </c>
      <c r="H42" s="553"/>
      <c r="I42" s="161" t="s">
        <v>128</v>
      </c>
      <c r="J42" s="24"/>
      <c r="K42" s="24" t="s">
        <v>439</v>
      </c>
    </row>
    <row r="43" spans="1:11" ht="35.25" customHeight="1">
      <c r="A43" s="36">
        <v>31</v>
      </c>
      <c r="B43" s="36">
        <v>750</v>
      </c>
      <c r="C43" s="36">
        <v>75023</v>
      </c>
      <c r="D43" s="36">
        <v>6050</v>
      </c>
      <c r="E43" s="159" t="s">
        <v>634</v>
      </c>
      <c r="F43" s="160">
        <v>50000</v>
      </c>
      <c r="G43" s="160">
        <v>50000</v>
      </c>
      <c r="H43" s="553"/>
      <c r="I43" s="161" t="s">
        <v>128</v>
      </c>
      <c r="J43" s="24"/>
      <c r="K43" s="24" t="s">
        <v>439</v>
      </c>
    </row>
    <row r="44" spans="1:11" ht="51">
      <c r="A44" s="36">
        <v>32</v>
      </c>
      <c r="B44" s="36">
        <v>750</v>
      </c>
      <c r="C44" s="36">
        <v>75023</v>
      </c>
      <c r="D44" s="36">
        <v>6050</v>
      </c>
      <c r="E44" s="159" t="s">
        <v>684</v>
      </c>
      <c r="F44" s="160">
        <v>100000</v>
      </c>
      <c r="G44" s="160">
        <v>100000</v>
      </c>
      <c r="H44" s="553"/>
      <c r="I44" s="161" t="s">
        <v>128</v>
      </c>
      <c r="J44" s="24"/>
      <c r="K44" s="24" t="s">
        <v>439</v>
      </c>
    </row>
    <row r="45" spans="1:11" ht="30.75" customHeight="1">
      <c r="A45" s="36">
        <v>33</v>
      </c>
      <c r="B45" s="36">
        <v>754</v>
      </c>
      <c r="C45" s="36">
        <v>75412</v>
      </c>
      <c r="D45" s="36">
        <v>6050</v>
      </c>
      <c r="E45" s="159" t="s">
        <v>635</v>
      </c>
      <c r="F45" s="160">
        <v>194800</v>
      </c>
      <c r="G45" s="160">
        <v>194800</v>
      </c>
      <c r="H45" s="553"/>
      <c r="I45" s="161" t="s">
        <v>128</v>
      </c>
      <c r="J45" s="24"/>
      <c r="K45" s="24" t="s">
        <v>439</v>
      </c>
    </row>
    <row r="46" spans="1:11" ht="51">
      <c r="A46" s="36">
        <v>34</v>
      </c>
      <c r="B46" s="36">
        <v>754</v>
      </c>
      <c r="C46" s="36">
        <v>75412</v>
      </c>
      <c r="D46" s="36">
        <v>6230</v>
      </c>
      <c r="E46" s="159" t="s">
        <v>668</v>
      </c>
      <c r="F46" s="160">
        <v>35000</v>
      </c>
      <c r="G46" s="160">
        <v>35000</v>
      </c>
      <c r="H46" s="553"/>
      <c r="I46" s="161" t="s">
        <v>128</v>
      </c>
      <c r="J46" s="24"/>
      <c r="K46" s="24" t="s">
        <v>439</v>
      </c>
    </row>
    <row r="47" spans="1:11" ht="51">
      <c r="A47" s="36">
        <v>35</v>
      </c>
      <c r="B47" s="36">
        <v>851</v>
      </c>
      <c r="C47" s="36">
        <v>85111</v>
      </c>
      <c r="D47" s="36">
        <v>6300</v>
      </c>
      <c r="E47" s="159" t="s">
        <v>669</v>
      </c>
      <c r="F47" s="160">
        <v>199641</v>
      </c>
      <c r="G47" s="160">
        <v>199641</v>
      </c>
      <c r="H47" s="553"/>
      <c r="I47" s="161" t="s">
        <v>128</v>
      </c>
      <c r="J47" s="24"/>
      <c r="K47" s="24" t="s">
        <v>439</v>
      </c>
    </row>
    <row r="48" spans="1:11" ht="30" customHeight="1">
      <c r="A48" s="36">
        <v>36</v>
      </c>
      <c r="B48" s="36">
        <v>900</v>
      </c>
      <c r="C48" s="36">
        <v>90001</v>
      </c>
      <c r="D48" s="36">
        <v>6050</v>
      </c>
      <c r="E48" s="165" t="s">
        <v>640</v>
      </c>
      <c r="F48" s="160">
        <v>2410000</v>
      </c>
      <c r="G48" s="160">
        <v>2410000</v>
      </c>
      <c r="H48" s="24"/>
      <c r="I48" s="161" t="s">
        <v>128</v>
      </c>
      <c r="J48" s="24"/>
      <c r="K48" s="24" t="s">
        <v>439</v>
      </c>
    </row>
    <row r="49" spans="1:11" ht="51">
      <c r="A49" s="36">
        <v>37</v>
      </c>
      <c r="B49" s="36">
        <v>900</v>
      </c>
      <c r="C49" s="36">
        <v>90001</v>
      </c>
      <c r="D49" s="36">
        <v>6050</v>
      </c>
      <c r="E49" s="159" t="s">
        <v>705</v>
      </c>
      <c r="F49" s="160">
        <v>3100000</v>
      </c>
      <c r="G49" s="160">
        <v>3100000</v>
      </c>
      <c r="H49" s="553"/>
      <c r="I49" s="161" t="s">
        <v>128</v>
      </c>
      <c r="J49" s="24"/>
      <c r="K49" s="24" t="s">
        <v>439</v>
      </c>
    </row>
    <row r="50" spans="1:11" ht="32.25" customHeight="1">
      <c r="A50" s="36">
        <v>38</v>
      </c>
      <c r="B50" s="36">
        <v>900</v>
      </c>
      <c r="C50" s="36">
        <v>90015</v>
      </c>
      <c r="D50" s="36">
        <v>6050</v>
      </c>
      <c r="E50" s="159" t="s">
        <v>569</v>
      </c>
      <c r="F50" s="160">
        <v>200000</v>
      </c>
      <c r="G50" s="160">
        <v>200000</v>
      </c>
      <c r="H50" s="24"/>
      <c r="I50" s="161" t="s">
        <v>128</v>
      </c>
      <c r="J50" s="24"/>
      <c r="K50" s="24" t="s">
        <v>439</v>
      </c>
    </row>
    <row r="51" spans="1:11" ht="41.25" customHeight="1">
      <c r="A51" s="36">
        <v>39</v>
      </c>
      <c r="B51" s="36">
        <v>900</v>
      </c>
      <c r="C51" s="36">
        <v>90015</v>
      </c>
      <c r="D51" s="36">
        <v>6050</v>
      </c>
      <c r="E51" s="159" t="s">
        <v>685</v>
      </c>
      <c r="F51" s="160">
        <v>38000</v>
      </c>
      <c r="G51" s="160">
        <v>38000</v>
      </c>
      <c r="H51" s="24"/>
      <c r="I51" s="161" t="s">
        <v>128</v>
      </c>
      <c r="J51" s="24"/>
      <c r="K51" s="24" t="s">
        <v>439</v>
      </c>
    </row>
    <row r="52" spans="1:11" ht="38.25" customHeight="1">
      <c r="A52" s="36">
        <v>40</v>
      </c>
      <c r="B52" s="36">
        <v>900</v>
      </c>
      <c r="C52" s="36">
        <v>90095</v>
      </c>
      <c r="D52" s="36">
        <v>6050</v>
      </c>
      <c r="E52" s="159" t="s">
        <v>636</v>
      </c>
      <c r="F52" s="160">
        <v>40000</v>
      </c>
      <c r="G52" s="160">
        <v>40000</v>
      </c>
      <c r="H52" s="24"/>
      <c r="I52" s="161" t="s">
        <v>128</v>
      </c>
      <c r="J52" s="24"/>
      <c r="K52" s="24" t="s">
        <v>439</v>
      </c>
    </row>
    <row r="53" spans="1:11" ht="42.75" customHeight="1">
      <c r="A53" s="36">
        <v>41</v>
      </c>
      <c r="B53" s="36">
        <v>900</v>
      </c>
      <c r="C53" s="36">
        <v>90095</v>
      </c>
      <c r="D53" s="36">
        <v>6010</v>
      </c>
      <c r="E53" s="159" t="s">
        <v>673</v>
      </c>
      <c r="F53" s="160">
        <v>785</v>
      </c>
      <c r="G53" s="160">
        <v>785</v>
      </c>
      <c r="H53" s="553"/>
      <c r="I53" s="161" t="s">
        <v>128</v>
      </c>
      <c r="J53" s="24"/>
      <c r="K53" s="24" t="s">
        <v>439</v>
      </c>
    </row>
    <row r="54" spans="1:11" ht="56.25">
      <c r="A54" s="36">
        <v>42</v>
      </c>
      <c r="B54" s="36">
        <v>921</v>
      </c>
      <c r="C54" s="36">
        <v>92195</v>
      </c>
      <c r="D54" s="36">
        <v>6050</v>
      </c>
      <c r="E54" s="159" t="s">
        <v>666</v>
      </c>
      <c r="F54" s="160">
        <v>400000</v>
      </c>
      <c r="G54" s="160">
        <v>400000</v>
      </c>
      <c r="H54" s="553"/>
      <c r="I54" s="161" t="s">
        <v>128</v>
      </c>
      <c r="J54" s="24"/>
      <c r="K54" s="24" t="s">
        <v>439</v>
      </c>
    </row>
    <row r="55" spans="1:11" ht="36.75" customHeight="1">
      <c r="A55" s="36">
        <v>43</v>
      </c>
      <c r="B55" s="36">
        <v>921</v>
      </c>
      <c r="C55" s="36">
        <v>92195</v>
      </c>
      <c r="D55" s="36">
        <v>6060</v>
      </c>
      <c r="E55" s="159" t="s">
        <v>712</v>
      </c>
      <c r="F55" s="160">
        <v>5200</v>
      </c>
      <c r="G55" s="160">
        <v>5200</v>
      </c>
      <c r="H55" s="553"/>
      <c r="I55" s="161" t="s">
        <v>128</v>
      </c>
      <c r="J55" s="24"/>
      <c r="K55" s="24" t="s">
        <v>439</v>
      </c>
    </row>
    <row r="56" spans="1:11" ht="32.25" customHeight="1">
      <c r="A56" s="36">
        <v>44</v>
      </c>
      <c r="B56" s="36">
        <v>926</v>
      </c>
      <c r="C56" s="36">
        <v>92601</v>
      </c>
      <c r="D56" s="36">
        <v>6050</v>
      </c>
      <c r="E56" s="159" t="s">
        <v>637</v>
      </c>
      <c r="F56" s="160">
        <v>50000</v>
      </c>
      <c r="G56" s="160">
        <v>50000</v>
      </c>
      <c r="H56" s="553"/>
      <c r="I56" s="161" t="s">
        <v>128</v>
      </c>
      <c r="J56" s="24"/>
      <c r="K56" s="24" t="s">
        <v>439</v>
      </c>
    </row>
    <row r="57" spans="1:11" ht="30.75" customHeight="1">
      <c r="A57" s="36">
        <v>45</v>
      </c>
      <c r="B57" s="36">
        <v>926</v>
      </c>
      <c r="C57" s="36">
        <v>92601</v>
      </c>
      <c r="D57" s="36">
        <v>6050</v>
      </c>
      <c r="E57" s="159" t="s">
        <v>638</v>
      </c>
      <c r="F57" s="160">
        <v>500000</v>
      </c>
      <c r="G57" s="160">
        <v>500000</v>
      </c>
      <c r="H57" s="553"/>
      <c r="I57" s="161" t="s">
        <v>128</v>
      </c>
      <c r="J57" s="24"/>
      <c r="K57" s="24" t="s">
        <v>439</v>
      </c>
    </row>
    <row r="58" spans="1:11" ht="57" customHeight="1">
      <c r="A58" s="36">
        <v>46</v>
      </c>
      <c r="B58" s="122">
        <v>926</v>
      </c>
      <c r="C58" s="122">
        <v>92601</v>
      </c>
      <c r="D58" s="122">
        <v>6050</v>
      </c>
      <c r="E58" s="642" t="s">
        <v>714</v>
      </c>
      <c r="F58" s="643">
        <v>36000</v>
      </c>
      <c r="G58" s="643">
        <v>36000</v>
      </c>
      <c r="H58" s="644"/>
      <c r="I58" s="645" t="s">
        <v>128</v>
      </c>
      <c r="J58" s="55"/>
      <c r="K58" s="55" t="s">
        <v>439</v>
      </c>
    </row>
    <row r="59" spans="1:11" ht="51">
      <c r="A59" s="36">
        <v>47</v>
      </c>
      <c r="B59" s="162">
        <v>926</v>
      </c>
      <c r="C59" s="162">
        <v>92601</v>
      </c>
      <c r="D59" s="162">
        <v>6050</v>
      </c>
      <c r="E59" s="163" t="s">
        <v>686</v>
      </c>
      <c r="F59" s="164">
        <v>200000</v>
      </c>
      <c r="G59" s="164">
        <v>200000</v>
      </c>
      <c r="H59" s="554"/>
      <c r="I59" s="555" t="s">
        <v>128</v>
      </c>
      <c r="J59" s="25"/>
      <c r="K59" s="25" t="s">
        <v>439</v>
      </c>
    </row>
    <row r="60" spans="1:11" ht="12.75">
      <c r="A60" s="692" t="s">
        <v>121</v>
      </c>
      <c r="B60" s="692"/>
      <c r="C60" s="692"/>
      <c r="D60" s="692"/>
      <c r="E60" s="692"/>
      <c r="F60" s="167">
        <f>SUM(F13:F59)</f>
        <v>13082798</v>
      </c>
      <c r="G60" s="167">
        <f>SUM(G13:G59)</f>
        <v>13082798</v>
      </c>
      <c r="H60" s="172">
        <f>SUM(H15:H15,H18:H48,H49:H55)</f>
        <v>0</v>
      </c>
      <c r="I60" s="166"/>
      <c r="J60" s="22"/>
      <c r="K60" s="64" t="s">
        <v>49</v>
      </c>
    </row>
    <row r="61" spans="1:11" ht="12.75">
      <c r="A61" s="456"/>
      <c r="B61" s="455"/>
      <c r="C61" s="455"/>
      <c r="D61" s="455"/>
      <c r="E61" s="456"/>
      <c r="F61" s="657" t="s">
        <v>25</v>
      </c>
      <c r="G61" s="456"/>
      <c r="H61" s="456"/>
      <c r="I61" s="456"/>
      <c r="J61" s="456"/>
      <c r="K61" s="456"/>
    </row>
    <row r="62" spans="1:11" ht="12.75">
      <c r="A62" s="5" t="s">
        <v>69</v>
      </c>
      <c r="B62" s="4"/>
      <c r="C62" s="4"/>
      <c r="D62" s="4"/>
      <c r="E62" s="5"/>
      <c r="F62" s="641" t="s">
        <v>25</v>
      </c>
      <c r="G62" s="641" t="s">
        <v>25</v>
      </c>
      <c r="H62" s="5"/>
      <c r="I62" s="5"/>
      <c r="J62" s="5" t="s">
        <v>25</v>
      </c>
      <c r="K62" s="5"/>
    </row>
    <row r="63" spans="1:11" ht="12.75">
      <c r="A63" s="5" t="s">
        <v>66</v>
      </c>
      <c r="B63" s="4"/>
      <c r="C63" s="4"/>
      <c r="D63" s="4"/>
      <c r="E63" s="5"/>
      <c r="F63" s="641" t="s">
        <v>25</v>
      </c>
      <c r="G63" s="5"/>
      <c r="H63" s="5"/>
      <c r="I63" s="5"/>
      <c r="J63" s="5" t="s">
        <v>25</v>
      </c>
      <c r="K63" s="5"/>
    </row>
    <row r="64" spans="1:11" ht="12.75">
      <c r="A64" s="5" t="s">
        <v>67</v>
      </c>
      <c r="B64" s="4"/>
      <c r="C64" s="4"/>
      <c r="D64" s="4"/>
      <c r="E64" s="5"/>
      <c r="F64" s="641" t="s">
        <v>25</v>
      </c>
      <c r="G64" s="641" t="s">
        <v>25</v>
      </c>
      <c r="H64" s="5"/>
      <c r="I64" s="5"/>
      <c r="J64" s="5"/>
      <c r="K64" s="5"/>
    </row>
    <row r="65" spans="1:11" ht="12.75">
      <c r="A65" s="5" t="s">
        <v>68</v>
      </c>
      <c r="B65" s="4"/>
      <c r="C65" s="4"/>
      <c r="D65" s="4"/>
      <c r="E65" s="5"/>
      <c r="F65" s="641" t="s">
        <v>25</v>
      </c>
      <c r="G65" s="641" t="s">
        <v>25</v>
      </c>
      <c r="H65" s="5"/>
      <c r="I65" s="5"/>
      <c r="J65" s="5" t="s">
        <v>25</v>
      </c>
      <c r="K65" s="5"/>
    </row>
    <row r="66" spans="1:11" ht="12.75">
      <c r="A66" s="5"/>
      <c r="B66" s="4"/>
      <c r="C66" s="4"/>
      <c r="D66" s="4"/>
      <c r="E66" s="5"/>
      <c r="F66" s="641" t="s">
        <v>25</v>
      </c>
      <c r="G66" s="641" t="s">
        <v>25</v>
      </c>
      <c r="H66" s="5"/>
      <c r="I66" s="5"/>
      <c r="J66" s="5"/>
      <c r="K66" s="5"/>
    </row>
    <row r="67" spans="1:11" ht="12.75">
      <c r="A67" s="658" t="s">
        <v>25</v>
      </c>
      <c r="B67" s="4"/>
      <c r="C67" s="4"/>
      <c r="D67" s="4"/>
      <c r="E67" s="5"/>
      <c r="F67" s="641" t="s">
        <v>25</v>
      </c>
      <c r="G67" s="641" t="s">
        <v>25</v>
      </c>
      <c r="H67" s="5"/>
      <c r="I67" s="5"/>
      <c r="J67" s="5"/>
      <c r="K67" s="5"/>
    </row>
    <row r="68" ht="12.75">
      <c r="F68" s="112" t="s">
        <v>25</v>
      </c>
    </row>
    <row r="69" ht="12.75">
      <c r="F69" s="112" t="s">
        <v>25</v>
      </c>
    </row>
    <row r="70" ht="12.75">
      <c r="F70" s="112" t="s">
        <v>25</v>
      </c>
    </row>
    <row r="73" spans="6:7" ht="12.75">
      <c r="F73" s="112"/>
      <c r="G73" s="112"/>
    </row>
  </sheetData>
  <mergeCells count="15">
    <mergeCell ref="A5:K5"/>
    <mergeCell ref="A7:A11"/>
    <mergeCell ref="B7:B11"/>
    <mergeCell ref="C7:C11"/>
    <mergeCell ref="E7:E11"/>
    <mergeCell ref="F7:J7"/>
    <mergeCell ref="K7:K11"/>
    <mergeCell ref="F8:F11"/>
    <mergeCell ref="D7:D11"/>
    <mergeCell ref="A60:E60"/>
    <mergeCell ref="G8:J8"/>
    <mergeCell ref="G9:G11"/>
    <mergeCell ref="H9:H11"/>
    <mergeCell ref="I9:I11"/>
    <mergeCell ref="J9:J11"/>
  </mergeCells>
  <printOptions horizontalCentered="1"/>
  <pageMargins left="0.5" right="0.3937007874015748" top="0.43" bottom="0.43" header="0.28" footer="0.23"/>
  <pageSetup fitToHeight="6" fitToWidth="1" horizontalDpi="600" verticalDpi="600" orientation="landscape" paperSize="9" r:id="rId1"/>
  <headerFooter alignWithMargins="0"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67"/>
  <sheetViews>
    <sheetView showGridLines="0" view="pageBreakPreview" zoomScaleSheetLayoutView="100" workbookViewId="0" topLeftCell="A1">
      <selection activeCell="A5" sqref="A5:Q5"/>
    </sheetView>
  </sheetViews>
  <sheetFormatPr defaultColWidth="9.00390625" defaultRowHeight="12.75"/>
  <cols>
    <col min="1" max="1" width="3.625" style="14" bestFit="1" customWidth="1"/>
    <col min="2" max="2" width="19.87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10.875" style="14" bestFit="1" customWidth="1"/>
    <col min="7" max="7" width="11.00390625" style="14" customWidth="1"/>
    <col min="8" max="8" width="10.375" style="14" customWidth="1"/>
    <col min="9" max="9" width="8.37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8.75390625" style="14" customWidth="1"/>
    <col min="18" max="16384" width="10.25390625" style="14" customWidth="1"/>
  </cols>
  <sheetData>
    <row r="1" ht="12.75">
      <c r="N1" t="s">
        <v>631</v>
      </c>
    </row>
    <row r="2" ht="12.75">
      <c r="N2" t="s">
        <v>657</v>
      </c>
    </row>
    <row r="3" ht="12.75">
      <c r="N3" t="s">
        <v>186</v>
      </c>
    </row>
    <row r="4" ht="12.75">
      <c r="N4" t="s">
        <v>658</v>
      </c>
    </row>
    <row r="5" spans="1:17" ht="12.75">
      <c r="A5" s="701" t="s">
        <v>112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</row>
    <row r="7" spans="1:17" ht="11.25">
      <c r="A7" s="705" t="s">
        <v>61</v>
      </c>
      <c r="B7" s="705" t="s">
        <v>74</v>
      </c>
      <c r="C7" s="702" t="s">
        <v>75</v>
      </c>
      <c r="D7" s="702" t="s">
        <v>173</v>
      </c>
      <c r="E7" s="702" t="s">
        <v>117</v>
      </c>
      <c r="F7" s="705" t="s">
        <v>6</v>
      </c>
      <c r="G7" s="705"/>
      <c r="H7" s="705" t="s">
        <v>73</v>
      </c>
      <c r="I7" s="705"/>
      <c r="J7" s="705"/>
      <c r="K7" s="705"/>
      <c r="L7" s="705"/>
      <c r="M7" s="705"/>
      <c r="N7" s="705"/>
      <c r="O7" s="705"/>
      <c r="P7" s="705"/>
      <c r="Q7" s="705"/>
    </row>
    <row r="8" spans="1:17" ht="11.25">
      <c r="A8" s="705"/>
      <c r="B8" s="705"/>
      <c r="C8" s="702"/>
      <c r="D8" s="702"/>
      <c r="E8" s="702"/>
      <c r="F8" s="702" t="s">
        <v>114</v>
      </c>
      <c r="G8" s="702" t="s">
        <v>115</v>
      </c>
      <c r="H8" s="705" t="s">
        <v>59</v>
      </c>
      <c r="I8" s="705"/>
      <c r="J8" s="705"/>
      <c r="K8" s="705"/>
      <c r="L8" s="705"/>
      <c r="M8" s="705"/>
      <c r="N8" s="705"/>
      <c r="O8" s="705"/>
      <c r="P8" s="705"/>
      <c r="Q8" s="705"/>
    </row>
    <row r="9" spans="1:17" ht="11.25">
      <c r="A9" s="705"/>
      <c r="B9" s="705"/>
      <c r="C9" s="702"/>
      <c r="D9" s="702"/>
      <c r="E9" s="702"/>
      <c r="F9" s="702"/>
      <c r="G9" s="702"/>
      <c r="H9" s="702" t="s">
        <v>77</v>
      </c>
      <c r="I9" s="705" t="s">
        <v>78</v>
      </c>
      <c r="J9" s="705"/>
      <c r="K9" s="705"/>
      <c r="L9" s="705"/>
      <c r="M9" s="705"/>
      <c r="N9" s="705"/>
      <c r="O9" s="705"/>
      <c r="P9" s="705"/>
      <c r="Q9" s="705"/>
    </row>
    <row r="10" spans="1:17" ht="11.25">
      <c r="A10" s="705"/>
      <c r="B10" s="705"/>
      <c r="C10" s="702"/>
      <c r="D10" s="702"/>
      <c r="E10" s="702"/>
      <c r="F10" s="702"/>
      <c r="G10" s="702"/>
      <c r="H10" s="702"/>
      <c r="I10" s="705" t="s">
        <v>79</v>
      </c>
      <c r="J10" s="705"/>
      <c r="K10" s="705"/>
      <c r="L10" s="705"/>
      <c r="M10" s="705" t="s">
        <v>76</v>
      </c>
      <c r="N10" s="705"/>
      <c r="O10" s="705"/>
      <c r="P10" s="705"/>
      <c r="Q10" s="705"/>
    </row>
    <row r="11" spans="1:17" ht="11.25">
      <c r="A11" s="705"/>
      <c r="B11" s="705"/>
      <c r="C11" s="702"/>
      <c r="D11" s="702"/>
      <c r="E11" s="702"/>
      <c r="F11" s="702"/>
      <c r="G11" s="702"/>
      <c r="H11" s="702"/>
      <c r="I11" s="702" t="s">
        <v>80</v>
      </c>
      <c r="J11" s="705" t="s">
        <v>81</v>
      </c>
      <c r="K11" s="705"/>
      <c r="L11" s="705"/>
      <c r="M11" s="702" t="s">
        <v>82</v>
      </c>
      <c r="N11" s="702" t="s">
        <v>81</v>
      </c>
      <c r="O11" s="702"/>
      <c r="P11" s="702"/>
      <c r="Q11" s="702"/>
    </row>
    <row r="12" spans="1:17" ht="45">
      <c r="A12" s="705"/>
      <c r="B12" s="705"/>
      <c r="C12" s="702"/>
      <c r="D12" s="702"/>
      <c r="E12" s="702"/>
      <c r="F12" s="702"/>
      <c r="G12" s="702"/>
      <c r="H12" s="702"/>
      <c r="I12" s="702"/>
      <c r="J12" s="48" t="s">
        <v>116</v>
      </c>
      <c r="K12" s="48" t="s">
        <v>83</v>
      </c>
      <c r="L12" s="48" t="s">
        <v>84</v>
      </c>
      <c r="M12" s="702"/>
      <c r="N12" s="48" t="s">
        <v>85</v>
      </c>
      <c r="O12" s="48" t="s">
        <v>116</v>
      </c>
      <c r="P12" s="48" t="s">
        <v>83</v>
      </c>
      <c r="Q12" s="48" t="s">
        <v>86</v>
      </c>
    </row>
    <row r="13" spans="1:17" ht="11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</row>
    <row r="14" spans="1:17" s="65" customFormat="1" ht="22.5">
      <c r="A14" s="157">
        <v>1</v>
      </c>
      <c r="B14" s="174" t="s">
        <v>87</v>
      </c>
      <c r="C14" s="703"/>
      <c r="D14" s="704"/>
      <c r="E14" s="175">
        <f>SUM(E19,E28,E37,E46,E55,E64,E73,E82,E91,E100,E109,E118)</f>
        <v>20445000</v>
      </c>
      <c r="F14" s="175">
        <f aca="true" t="shared" si="0" ref="F14:Q14">SUM(F19,F28,F37,F46,F55,F64,F73,F82,F91,F100,F109,F118)</f>
        <v>8562250</v>
      </c>
      <c r="G14" s="175">
        <f t="shared" si="0"/>
        <v>9882750</v>
      </c>
      <c r="H14" s="175">
        <f t="shared" si="0"/>
        <v>750000</v>
      </c>
      <c r="I14" s="175">
        <f t="shared" si="0"/>
        <v>325000</v>
      </c>
      <c r="J14" s="175">
        <f t="shared" si="0"/>
        <v>0</v>
      </c>
      <c r="K14" s="175">
        <f t="shared" si="0"/>
        <v>0</v>
      </c>
      <c r="L14" s="175">
        <f t="shared" si="0"/>
        <v>325000</v>
      </c>
      <c r="M14" s="175">
        <f t="shared" si="0"/>
        <v>425000</v>
      </c>
      <c r="N14" s="175">
        <f t="shared" si="0"/>
        <v>0</v>
      </c>
      <c r="O14" s="175">
        <f t="shared" si="0"/>
        <v>0</v>
      </c>
      <c r="P14" s="175">
        <f t="shared" si="0"/>
        <v>0</v>
      </c>
      <c r="Q14" s="175">
        <f t="shared" si="0"/>
        <v>369000</v>
      </c>
    </row>
    <row r="15" spans="1:17" ht="12.75">
      <c r="A15" s="706" t="s">
        <v>88</v>
      </c>
      <c r="B15" s="708" t="s">
        <v>591</v>
      </c>
      <c r="C15" s="709"/>
      <c r="D15" s="709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O15" s="709"/>
      <c r="P15" s="709"/>
      <c r="Q15" s="710"/>
    </row>
    <row r="16" spans="1:17" ht="12.75">
      <c r="A16" s="700"/>
      <c r="B16" s="697" t="s">
        <v>592</v>
      </c>
      <c r="C16" s="698"/>
      <c r="D16" s="698"/>
      <c r="E16" s="698"/>
      <c r="F16" s="698"/>
      <c r="G16" s="698"/>
      <c r="H16" s="698"/>
      <c r="I16" s="698"/>
      <c r="J16" s="698"/>
      <c r="K16" s="698"/>
      <c r="L16" s="698"/>
      <c r="M16" s="698"/>
      <c r="N16" s="698"/>
      <c r="O16" s="698"/>
      <c r="P16" s="698"/>
      <c r="Q16" s="699"/>
    </row>
    <row r="17" spans="1:17" ht="12.75">
      <c r="A17" s="700"/>
      <c r="B17" s="697" t="s">
        <v>593</v>
      </c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9"/>
    </row>
    <row r="18" spans="1:17" ht="12.75">
      <c r="A18" s="700"/>
      <c r="B18" s="697" t="s">
        <v>624</v>
      </c>
      <c r="C18" s="698"/>
      <c r="D18" s="698"/>
      <c r="E18" s="698"/>
      <c r="F18" s="698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9"/>
    </row>
    <row r="19" spans="1:17" ht="11.25">
      <c r="A19" s="700"/>
      <c r="B19" s="176" t="s">
        <v>89</v>
      </c>
      <c r="C19" s="512"/>
      <c r="D19" s="513">
        <v>600.60016</v>
      </c>
      <c r="E19" s="177">
        <v>13150000</v>
      </c>
      <c r="F19" s="177">
        <v>6575000</v>
      </c>
      <c r="G19" s="177">
        <v>6575000</v>
      </c>
      <c r="H19" s="177">
        <v>500000</v>
      </c>
      <c r="I19" s="177">
        <v>250000</v>
      </c>
      <c r="J19" s="177"/>
      <c r="K19" s="177"/>
      <c r="L19" s="177">
        <v>250000</v>
      </c>
      <c r="M19" s="177">
        <v>250000</v>
      </c>
      <c r="N19" s="177"/>
      <c r="O19" s="177"/>
      <c r="P19" s="177"/>
      <c r="Q19" s="177">
        <v>250000</v>
      </c>
    </row>
    <row r="20" spans="1:17" ht="11.25">
      <c r="A20" s="700"/>
      <c r="B20" s="57" t="s">
        <v>594</v>
      </c>
      <c r="C20" s="514"/>
      <c r="D20" s="515"/>
      <c r="E20" s="178"/>
      <c r="F20" s="178">
        <v>250000</v>
      </c>
      <c r="G20" s="178">
        <v>250000</v>
      </c>
      <c r="H20" s="179">
        <v>500000</v>
      </c>
      <c r="I20" s="179">
        <v>250000</v>
      </c>
      <c r="J20" s="179"/>
      <c r="K20" s="179"/>
      <c r="L20" s="179">
        <v>250000</v>
      </c>
      <c r="M20" s="179">
        <v>250000</v>
      </c>
      <c r="N20" s="179"/>
      <c r="O20" s="179"/>
      <c r="P20" s="179"/>
      <c r="Q20" s="179">
        <v>250000</v>
      </c>
    </row>
    <row r="21" spans="1:17" ht="11.25">
      <c r="A21" s="700"/>
      <c r="B21" s="57" t="s">
        <v>549</v>
      </c>
      <c r="C21" s="514"/>
      <c r="D21" s="515"/>
      <c r="E21" s="178"/>
      <c r="F21" s="178">
        <v>3550000</v>
      </c>
      <c r="G21" s="180">
        <v>3550000</v>
      </c>
      <c r="H21" s="537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1.25">
      <c r="A22" s="700"/>
      <c r="B22" s="57" t="s">
        <v>553</v>
      </c>
      <c r="C22" s="514"/>
      <c r="D22" s="515"/>
      <c r="E22" s="178"/>
      <c r="F22" s="178">
        <v>2775000</v>
      </c>
      <c r="G22" s="178">
        <v>2775000</v>
      </c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  <row r="23" spans="1:17" ht="11.25">
      <c r="A23" s="707"/>
      <c r="B23" s="58" t="s">
        <v>595</v>
      </c>
      <c r="C23" s="516"/>
      <c r="D23" s="516"/>
      <c r="E23" s="517"/>
      <c r="F23" s="517"/>
      <c r="G23" s="517"/>
      <c r="H23" s="518"/>
      <c r="I23" s="518"/>
      <c r="J23" s="518"/>
      <c r="K23" s="518"/>
      <c r="L23" s="518"/>
      <c r="M23" s="518"/>
      <c r="N23" s="518"/>
      <c r="O23" s="518"/>
      <c r="P23" s="518"/>
      <c r="Q23" s="518"/>
    </row>
    <row r="24" spans="1:17" ht="12.75">
      <c r="A24" s="182"/>
      <c r="B24" s="697" t="s">
        <v>596</v>
      </c>
      <c r="C24" s="698"/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98"/>
      <c r="Q24" s="699"/>
    </row>
    <row r="25" spans="1:17" ht="12.75">
      <c r="A25" s="183"/>
      <c r="B25" s="697" t="s">
        <v>597</v>
      </c>
      <c r="C25" s="698"/>
      <c r="D25" s="698"/>
      <c r="E25" s="698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698"/>
      <c r="Q25" s="699"/>
    </row>
    <row r="26" spans="1:17" ht="12.75">
      <c r="A26" s="183"/>
      <c r="B26" s="697" t="s">
        <v>598</v>
      </c>
      <c r="C26" s="698"/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9"/>
    </row>
    <row r="27" spans="1:17" ht="12.75">
      <c r="A27" s="183" t="s">
        <v>90</v>
      </c>
      <c r="B27" s="697" t="s">
        <v>599</v>
      </c>
      <c r="C27" s="698"/>
      <c r="D27" s="698"/>
      <c r="E27" s="698"/>
      <c r="F27" s="698"/>
      <c r="G27" s="698"/>
      <c r="H27" s="698"/>
      <c r="I27" s="698"/>
      <c r="J27" s="698"/>
      <c r="K27" s="698"/>
      <c r="L27" s="698"/>
      <c r="M27" s="698"/>
      <c r="N27" s="698"/>
      <c r="O27" s="698"/>
      <c r="P27" s="698"/>
      <c r="Q27" s="699"/>
    </row>
    <row r="28" spans="1:17" ht="11.25">
      <c r="A28" s="183"/>
      <c r="B28" s="184" t="s">
        <v>442</v>
      </c>
      <c r="C28" s="519"/>
      <c r="D28" s="186">
        <v>600.60016</v>
      </c>
      <c r="E28" s="520">
        <v>860000</v>
      </c>
      <c r="F28" s="187">
        <f>30%*E28</f>
        <v>258000</v>
      </c>
      <c r="G28" s="187">
        <f>70%*E28</f>
        <v>602000</v>
      </c>
      <c r="H28" s="520">
        <f>E29</f>
        <v>60000</v>
      </c>
      <c r="I28" s="520">
        <f>F29</f>
        <v>18000</v>
      </c>
      <c r="J28" s="520"/>
      <c r="K28" s="520"/>
      <c r="L28" s="520">
        <f>I28</f>
        <v>18000</v>
      </c>
      <c r="M28" s="520">
        <f>G29</f>
        <v>42000</v>
      </c>
      <c r="N28" s="520"/>
      <c r="O28" s="520"/>
      <c r="P28" s="520"/>
      <c r="Q28" s="520">
        <f>M28</f>
        <v>42000</v>
      </c>
    </row>
    <row r="29" spans="1:17" ht="11.25">
      <c r="A29" s="183"/>
      <c r="B29" s="57" t="s">
        <v>594</v>
      </c>
      <c r="C29" s="514"/>
      <c r="D29" s="72"/>
      <c r="E29" s="178">
        <v>60000</v>
      </c>
      <c r="F29" s="178">
        <f>30%*E29</f>
        <v>18000</v>
      </c>
      <c r="G29" s="178">
        <f>70%*E29</f>
        <v>42000</v>
      </c>
      <c r="H29" s="179">
        <f>H28</f>
        <v>60000</v>
      </c>
      <c r="I29" s="179">
        <f>I28</f>
        <v>18000</v>
      </c>
      <c r="J29" s="179"/>
      <c r="K29" s="179"/>
      <c r="L29" s="179">
        <f>L28</f>
        <v>18000</v>
      </c>
      <c r="M29" s="179">
        <f>M28</f>
        <v>42000</v>
      </c>
      <c r="N29" s="179"/>
      <c r="O29" s="179"/>
      <c r="P29" s="179"/>
      <c r="Q29" s="179">
        <f>M29</f>
        <v>42000</v>
      </c>
    </row>
    <row r="30" spans="1:17" ht="11.25">
      <c r="A30" s="183"/>
      <c r="B30" s="57" t="s">
        <v>549</v>
      </c>
      <c r="C30" s="514"/>
      <c r="D30" s="72"/>
      <c r="E30" s="178">
        <v>400000</v>
      </c>
      <c r="F30" s="178">
        <f>30%*E30</f>
        <v>120000</v>
      </c>
      <c r="G30" s="178">
        <f>70%*E30</f>
        <v>280000</v>
      </c>
      <c r="H30" s="179"/>
      <c r="I30" s="179"/>
      <c r="J30" s="179"/>
      <c r="K30" s="179"/>
      <c r="L30" s="179"/>
      <c r="M30" s="179"/>
      <c r="N30" s="179"/>
      <c r="O30" s="179"/>
      <c r="P30" s="179"/>
      <c r="Q30" s="179"/>
    </row>
    <row r="31" spans="1:17" ht="11.25">
      <c r="A31" s="183"/>
      <c r="B31" s="57" t="s">
        <v>553</v>
      </c>
      <c r="C31" s="514"/>
      <c r="D31" s="72"/>
      <c r="E31" s="178">
        <v>400000</v>
      </c>
      <c r="F31" s="178">
        <f>30%*E31</f>
        <v>120000</v>
      </c>
      <c r="G31" s="178">
        <f>70%*E31</f>
        <v>280000</v>
      </c>
      <c r="H31" s="179"/>
      <c r="I31" s="179"/>
      <c r="J31" s="179"/>
      <c r="K31" s="179"/>
      <c r="L31" s="179"/>
      <c r="M31" s="179"/>
      <c r="N31" s="179"/>
      <c r="O31" s="179"/>
      <c r="P31" s="179"/>
      <c r="Q31" s="179"/>
    </row>
    <row r="32" spans="1:17" ht="11.25">
      <c r="A32" s="183"/>
      <c r="B32" s="58" t="s">
        <v>595</v>
      </c>
      <c r="C32" s="516"/>
      <c r="D32" s="181"/>
      <c r="E32" s="517"/>
      <c r="F32" s="517"/>
      <c r="G32" s="517"/>
      <c r="H32" s="518"/>
      <c r="I32" s="518"/>
      <c r="J32" s="518"/>
      <c r="K32" s="518"/>
      <c r="L32" s="518"/>
      <c r="M32" s="518"/>
      <c r="N32" s="518"/>
      <c r="O32" s="518"/>
      <c r="P32" s="518"/>
      <c r="Q32" s="518"/>
    </row>
    <row r="33" spans="1:17" ht="12.75">
      <c r="A33" s="182"/>
      <c r="B33" s="697" t="s">
        <v>596</v>
      </c>
      <c r="C33" s="698"/>
      <c r="D33" s="698"/>
      <c r="E33" s="698"/>
      <c r="F33" s="698"/>
      <c r="G33" s="698"/>
      <c r="H33" s="698"/>
      <c r="I33" s="698"/>
      <c r="J33" s="698"/>
      <c r="K33" s="698"/>
      <c r="L33" s="698"/>
      <c r="M33" s="698"/>
      <c r="N33" s="698"/>
      <c r="O33" s="698"/>
      <c r="P33" s="698"/>
      <c r="Q33" s="699"/>
    </row>
    <row r="34" spans="1:17" s="65" customFormat="1" ht="12.75">
      <c r="A34" s="183"/>
      <c r="B34" s="697" t="s">
        <v>597</v>
      </c>
      <c r="C34" s="698"/>
      <c r="D34" s="698"/>
      <c r="E34" s="698"/>
      <c r="F34" s="698"/>
      <c r="G34" s="698"/>
      <c r="H34" s="698"/>
      <c r="I34" s="698"/>
      <c r="J34" s="698"/>
      <c r="K34" s="698"/>
      <c r="L34" s="698"/>
      <c r="M34" s="698"/>
      <c r="N34" s="698"/>
      <c r="O34" s="698"/>
      <c r="P34" s="698"/>
      <c r="Q34" s="699"/>
    </row>
    <row r="35" spans="1:17" ht="12.75">
      <c r="A35" s="183"/>
      <c r="B35" s="697" t="s">
        <v>598</v>
      </c>
      <c r="C35" s="698"/>
      <c r="D35" s="698"/>
      <c r="E35" s="698"/>
      <c r="F35" s="698"/>
      <c r="G35" s="698"/>
      <c r="H35" s="698"/>
      <c r="I35" s="698"/>
      <c r="J35" s="698"/>
      <c r="K35" s="698"/>
      <c r="L35" s="698"/>
      <c r="M35" s="698"/>
      <c r="N35" s="698"/>
      <c r="O35" s="698"/>
      <c r="P35" s="698"/>
      <c r="Q35" s="699"/>
    </row>
    <row r="36" spans="1:17" ht="12.75">
      <c r="A36" s="183"/>
      <c r="B36" s="697" t="s">
        <v>600</v>
      </c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699"/>
    </row>
    <row r="37" spans="1:17" ht="11.25">
      <c r="A37" s="183" t="s">
        <v>91</v>
      </c>
      <c r="B37" s="184" t="s">
        <v>442</v>
      </c>
      <c r="C37" s="521"/>
      <c r="D37" s="176">
        <v>700.70095</v>
      </c>
      <c r="E37" s="522">
        <v>1600000</v>
      </c>
      <c r="F37" s="177">
        <f>E37-G37</f>
        <v>480000</v>
      </c>
      <c r="G37" s="177">
        <f>E37*70%</f>
        <v>1120000</v>
      </c>
      <c r="H37" s="522">
        <f>E38</f>
        <v>80000</v>
      </c>
      <c r="I37" s="522">
        <f>F38</f>
        <v>24000</v>
      </c>
      <c r="J37" s="522"/>
      <c r="K37" s="522"/>
      <c r="L37" s="522">
        <f>L38</f>
        <v>24000</v>
      </c>
      <c r="M37" s="522">
        <f>M38</f>
        <v>56000</v>
      </c>
      <c r="N37" s="522"/>
      <c r="O37" s="522"/>
      <c r="P37" s="522"/>
      <c r="Q37" s="522"/>
    </row>
    <row r="38" spans="1:17" ht="11.25">
      <c r="A38" s="183"/>
      <c r="B38" s="57" t="s">
        <v>594</v>
      </c>
      <c r="C38" s="514"/>
      <c r="D38" s="72"/>
      <c r="E38" s="178">
        <v>80000</v>
      </c>
      <c r="F38" s="177">
        <f>E38-G38</f>
        <v>24000</v>
      </c>
      <c r="G38" s="177">
        <f>E38*70%</f>
        <v>56000</v>
      </c>
      <c r="H38" s="179">
        <f>H37</f>
        <v>80000</v>
      </c>
      <c r="I38" s="179">
        <f>I37</f>
        <v>24000</v>
      </c>
      <c r="J38" s="179"/>
      <c r="K38" s="179"/>
      <c r="L38" s="179">
        <f>I38</f>
        <v>24000</v>
      </c>
      <c r="M38" s="179">
        <f>G38</f>
        <v>56000</v>
      </c>
      <c r="N38" s="179"/>
      <c r="O38" s="179"/>
      <c r="P38" s="179"/>
      <c r="Q38" s="179"/>
    </row>
    <row r="39" spans="1:17" ht="11.25">
      <c r="A39" s="183"/>
      <c r="B39" s="57" t="s">
        <v>549</v>
      </c>
      <c r="C39" s="514"/>
      <c r="D39" s="72"/>
      <c r="E39" s="178">
        <v>620000</v>
      </c>
      <c r="F39" s="177">
        <f>E39-G39</f>
        <v>186000</v>
      </c>
      <c r="G39" s="177">
        <f>E39*70%</f>
        <v>434000</v>
      </c>
      <c r="H39" s="179"/>
      <c r="I39" s="179"/>
      <c r="J39" s="179"/>
      <c r="K39" s="179"/>
      <c r="L39" s="179"/>
      <c r="M39" s="179"/>
      <c r="N39" s="179"/>
      <c r="O39" s="179"/>
      <c r="P39" s="179"/>
      <c r="Q39" s="179"/>
    </row>
    <row r="40" spans="1:17" ht="11.25">
      <c r="A40" s="183"/>
      <c r="B40" s="57" t="s">
        <v>553</v>
      </c>
      <c r="C40" s="514"/>
      <c r="D40" s="72"/>
      <c r="E40" s="178">
        <v>800000</v>
      </c>
      <c r="F40" s="177">
        <f>E40-G40</f>
        <v>240000</v>
      </c>
      <c r="G40" s="177">
        <f>E40*70%</f>
        <v>560000</v>
      </c>
      <c r="H40" s="179"/>
      <c r="I40" s="179"/>
      <c r="J40" s="179"/>
      <c r="K40" s="179"/>
      <c r="L40" s="179"/>
      <c r="M40" s="179"/>
      <c r="N40" s="179"/>
      <c r="O40" s="179"/>
      <c r="P40" s="179"/>
      <c r="Q40" s="179"/>
    </row>
    <row r="41" spans="1:17" ht="11.25">
      <c r="A41" s="188"/>
      <c r="B41" s="58" t="s">
        <v>595</v>
      </c>
      <c r="C41" s="516"/>
      <c r="D41" s="181"/>
      <c r="E41" s="517">
        <v>100000</v>
      </c>
      <c r="F41" s="517">
        <f>E41-G41</f>
        <v>30000</v>
      </c>
      <c r="G41" s="517">
        <f>E41*70%</f>
        <v>70000</v>
      </c>
      <c r="H41" s="518"/>
      <c r="I41" s="518"/>
      <c r="J41" s="518"/>
      <c r="K41" s="518"/>
      <c r="L41" s="518"/>
      <c r="M41" s="518"/>
      <c r="N41" s="518"/>
      <c r="O41" s="518"/>
      <c r="P41" s="518"/>
      <c r="Q41" s="518"/>
    </row>
    <row r="42" spans="1:17" ht="12.75">
      <c r="A42" s="182"/>
      <c r="B42" s="697" t="s">
        <v>596</v>
      </c>
      <c r="C42" s="698"/>
      <c r="D42" s="698"/>
      <c r="E42" s="698"/>
      <c r="F42" s="698"/>
      <c r="G42" s="698"/>
      <c r="H42" s="698"/>
      <c r="I42" s="698"/>
      <c r="J42" s="698"/>
      <c r="K42" s="698"/>
      <c r="L42" s="698"/>
      <c r="M42" s="698"/>
      <c r="N42" s="698"/>
      <c r="O42" s="698"/>
      <c r="P42" s="698"/>
      <c r="Q42" s="699"/>
    </row>
    <row r="43" spans="1:17" ht="12.75">
      <c r="A43" s="183"/>
      <c r="B43" s="697" t="s">
        <v>597</v>
      </c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698"/>
      <c r="Q43" s="699"/>
    </row>
    <row r="44" spans="1:17" ht="12.75">
      <c r="A44" s="183"/>
      <c r="B44" s="697" t="s">
        <v>598</v>
      </c>
      <c r="C44" s="698"/>
      <c r="D44" s="698"/>
      <c r="E44" s="698"/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9"/>
    </row>
    <row r="45" spans="1:17" s="65" customFormat="1" ht="12.75">
      <c r="A45" s="183" t="s">
        <v>601</v>
      </c>
      <c r="B45" s="697" t="s">
        <v>602</v>
      </c>
      <c r="C45" s="698"/>
      <c r="D45" s="698"/>
      <c r="E45" s="698"/>
      <c r="F45" s="698"/>
      <c r="G45" s="698"/>
      <c r="H45" s="698"/>
      <c r="I45" s="698"/>
      <c r="J45" s="698"/>
      <c r="K45" s="698"/>
      <c r="L45" s="698"/>
      <c r="M45" s="698"/>
      <c r="N45" s="698"/>
      <c r="O45" s="698"/>
      <c r="P45" s="698"/>
      <c r="Q45" s="699"/>
    </row>
    <row r="46" spans="1:17" ht="11.25">
      <c r="A46" s="183"/>
      <c r="B46" s="184" t="s">
        <v>442</v>
      </c>
      <c r="C46" s="519"/>
      <c r="D46" s="185">
        <v>700.70095</v>
      </c>
      <c r="E46" s="520">
        <v>110000</v>
      </c>
      <c r="F46" s="187">
        <f>E46-G46</f>
        <v>33000</v>
      </c>
      <c r="G46" s="187">
        <f>70%*E46</f>
        <v>77000</v>
      </c>
      <c r="H46" s="520">
        <f>E47</f>
        <v>110000</v>
      </c>
      <c r="I46" s="520">
        <f>I47</f>
        <v>33000</v>
      </c>
      <c r="J46" s="520"/>
      <c r="K46" s="520"/>
      <c r="L46" s="520">
        <f>I46</f>
        <v>33000</v>
      </c>
      <c r="M46" s="520">
        <f>M47</f>
        <v>77000</v>
      </c>
      <c r="N46" s="520"/>
      <c r="O46" s="520"/>
      <c r="P46" s="520"/>
      <c r="Q46" s="520">
        <f>Q47</f>
        <v>77000</v>
      </c>
    </row>
    <row r="47" spans="1:17" ht="11.25">
      <c r="A47" s="183"/>
      <c r="B47" s="57" t="s">
        <v>594</v>
      </c>
      <c r="C47" s="514"/>
      <c r="D47" s="72"/>
      <c r="E47" s="178">
        <v>110000</v>
      </c>
      <c r="F47" s="178">
        <f>E47-G47</f>
        <v>33000</v>
      </c>
      <c r="G47" s="178">
        <f>70%*E47</f>
        <v>77000</v>
      </c>
      <c r="H47" s="179">
        <f>H46</f>
        <v>110000</v>
      </c>
      <c r="I47" s="179">
        <f>F47</f>
        <v>33000</v>
      </c>
      <c r="J47" s="179"/>
      <c r="K47" s="179"/>
      <c r="L47" s="179">
        <f>I47</f>
        <v>33000</v>
      </c>
      <c r="M47" s="179">
        <f>G47</f>
        <v>77000</v>
      </c>
      <c r="N47" s="179"/>
      <c r="O47" s="179"/>
      <c r="P47" s="179"/>
      <c r="Q47" s="179">
        <f>M47</f>
        <v>77000</v>
      </c>
    </row>
    <row r="48" spans="1:17" ht="11.25">
      <c r="A48" s="183"/>
      <c r="B48" s="57" t="s">
        <v>549</v>
      </c>
      <c r="C48" s="514"/>
      <c r="D48" s="72"/>
      <c r="E48" s="178"/>
      <c r="F48" s="178"/>
      <c r="G48" s="178"/>
      <c r="H48" s="179"/>
      <c r="I48" s="179"/>
      <c r="J48" s="179"/>
      <c r="K48" s="179"/>
      <c r="L48" s="179"/>
      <c r="M48" s="179"/>
      <c r="N48" s="179"/>
      <c r="O48" s="179"/>
      <c r="P48" s="179"/>
      <c r="Q48" s="179"/>
    </row>
    <row r="49" spans="1:17" ht="11.25">
      <c r="A49" s="183"/>
      <c r="B49" s="57" t="s">
        <v>553</v>
      </c>
      <c r="C49" s="514"/>
      <c r="D49" s="72"/>
      <c r="E49" s="178"/>
      <c r="F49" s="178"/>
      <c r="G49" s="178"/>
      <c r="H49" s="179"/>
      <c r="I49" s="179"/>
      <c r="J49" s="179"/>
      <c r="K49" s="179"/>
      <c r="L49" s="179"/>
      <c r="M49" s="179"/>
      <c r="N49" s="179"/>
      <c r="O49" s="179"/>
      <c r="P49" s="179"/>
      <c r="Q49" s="179"/>
    </row>
    <row r="50" spans="1:17" ht="11.25">
      <c r="A50" s="188"/>
      <c r="B50" s="58" t="s">
        <v>595</v>
      </c>
      <c r="C50" s="516"/>
      <c r="D50" s="181"/>
      <c r="E50" s="517"/>
      <c r="F50" s="517"/>
      <c r="G50" s="517"/>
      <c r="H50" s="518"/>
      <c r="I50" s="518"/>
      <c r="J50" s="518"/>
      <c r="K50" s="518"/>
      <c r="L50" s="518"/>
      <c r="M50" s="518"/>
      <c r="N50" s="518"/>
      <c r="O50" s="518"/>
      <c r="P50" s="518"/>
      <c r="Q50" s="518"/>
    </row>
    <row r="51" spans="1:17" ht="12.75">
      <c r="A51" s="700" t="s">
        <v>603</v>
      </c>
      <c r="B51" s="697" t="s">
        <v>596</v>
      </c>
      <c r="C51" s="698"/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  <c r="Q51" s="699"/>
    </row>
    <row r="52" spans="1:17" ht="12.75">
      <c r="A52" s="700"/>
      <c r="B52" s="697" t="s">
        <v>597</v>
      </c>
      <c r="C52" s="698"/>
      <c r="D52" s="698"/>
      <c r="E52" s="698"/>
      <c r="F52" s="698"/>
      <c r="G52" s="698"/>
      <c r="H52" s="698"/>
      <c r="I52" s="698"/>
      <c r="J52" s="698"/>
      <c r="K52" s="698"/>
      <c r="L52" s="698"/>
      <c r="M52" s="698"/>
      <c r="N52" s="698"/>
      <c r="O52" s="698"/>
      <c r="P52" s="698"/>
      <c r="Q52" s="699"/>
    </row>
    <row r="53" spans="1:17" ht="12.75">
      <c r="A53" s="700"/>
      <c r="B53" s="697" t="s">
        <v>598</v>
      </c>
      <c r="C53" s="698"/>
      <c r="D53" s="698"/>
      <c r="E53" s="698"/>
      <c r="F53" s="698"/>
      <c r="G53" s="698"/>
      <c r="H53" s="698"/>
      <c r="I53" s="698"/>
      <c r="J53" s="698"/>
      <c r="K53" s="698"/>
      <c r="L53" s="698"/>
      <c r="M53" s="698"/>
      <c r="N53" s="698"/>
      <c r="O53" s="698"/>
      <c r="P53" s="698"/>
      <c r="Q53" s="699"/>
    </row>
    <row r="54" spans="1:17" ht="12.75">
      <c r="A54" s="700"/>
      <c r="B54" s="697" t="s">
        <v>604</v>
      </c>
      <c r="C54" s="698"/>
      <c r="D54" s="698"/>
      <c r="E54" s="698"/>
      <c r="F54" s="698"/>
      <c r="G54" s="698"/>
      <c r="H54" s="698"/>
      <c r="I54" s="698"/>
      <c r="J54" s="698"/>
      <c r="K54" s="698"/>
      <c r="L54" s="698"/>
      <c r="M54" s="698"/>
      <c r="N54" s="698"/>
      <c r="O54" s="698"/>
      <c r="P54" s="698"/>
      <c r="Q54" s="699"/>
    </row>
    <row r="55" spans="1:17" ht="11.25">
      <c r="A55" s="700"/>
      <c r="B55" s="189" t="s">
        <v>89</v>
      </c>
      <c r="C55" s="523"/>
      <c r="D55" s="186"/>
      <c r="E55" s="187">
        <v>320000</v>
      </c>
      <c r="F55" s="187">
        <f>E55-G55</f>
        <v>96000</v>
      </c>
      <c r="G55" s="187">
        <f>70%*E55</f>
        <v>224000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</row>
    <row r="56" spans="1:17" ht="11.25">
      <c r="A56" s="700"/>
      <c r="B56" s="57" t="s">
        <v>594</v>
      </c>
      <c r="C56" s="514"/>
      <c r="D56" s="72"/>
      <c r="E56" s="178"/>
      <c r="F56" s="178"/>
      <c r="G56" s="178"/>
      <c r="H56" s="179"/>
      <c r="I56" s="179"/>
      <c r="J56" s="179"/>
      <c r="K56" s="179"/>
      <c r="L56" s="179"/>
      <c r="M56" s="179"/>
      <c r="N56" s="179"/>
      <c r="O56" s="179"/>
      <c r="P56" s="179"/>
      <c r="Q56" s="179"/>
    </row>
    <row r="57" spans="1:17" ht="11.25">
      <c r="A57" s="700"/>
      <c r="B57" s="57" t="s">
        <v>549</v>
      </c>
      <c r="C57" s="514"/>
      <c r="D57" s="72"/>
      <c r="E57" s="524"/>
      <c r="F57" s="190"/>
      <c r="G57" s="57"/>
      <c r="H57" s="179"/>
      <c r="I57" s="179"/>
      <c r="J57" s="179"/>
      <c r="K57" s="179"/>
      <c r="L57" s="179"/>
      <c r="M57" s="179"/>
      <c r="N57" s="179"/>
      <c r="O57" s="179"/>
      <c r="P57" s="179"/>
      <c r="Q57" s="179"/>
    </row>
    <row r="58" spans="1:17" ht="11.25">
      <c r="A58" s="700"/>
      <c r="B58" s="57" t="s">
        <v>553</v>
      </c>
      <c r="C58" s="514"/>
      <c r="D58" s="72"/>
      <c r="E58" s="178">
        <v>320000</v>
      </c>
      <c r="F58" s="178">
        <f>E58-G58</f>
        <v>96000</v>
      </c>
      <c r="G58" s="178">
        <f>70%*E58</f>
        <v>224000</v>
      </c>
      <c r="H58" s="179"/>
      <c r="I58" s="179"/>
      <c r="J58" s="179"/>
      <c r="K58" s="179"/>
      <c r="L58" s="179"/>
      <c r="M58" s="179"/>
      <c r="N58" s="179"/>
      <c r="O58" s="179"/>
      <c r="P58" s="179"/>
      <c r="Q58" s="179"/>
    </row>
    <row r="59" spans="1:17" ht="11.25">
      <c r="A59" s="700"/>
      <c r="B59" s="58" t="s">
        <v>595</v>
      </c>
      <c r="C59" s="516"/>
      <c r="D59" s="181"/>
      <c r="E59" s="517"/>
      <c r="F59" s="517"/>
      <c r="G59" s="517"/>
      <c r="H59" s="518"/>
      <c r="I59" s="518"/>
      <c r="J59" s="518"/>
      <c r="K59" s="518"/>
      <c r="L59" s="518"/>
      <c r="M59" s="518"/>
      <c r="N59" s="518"/>
      <c r="O59" s="518"/>
      <c r="P59" s="518"/>
      <c r="Q59" s="518"/>
    </row>
    <row r="60" spans="1:17" ht="12.75">
      <c r="A60" s="711" t="s">
        <v>605</v>
      </c>
      <c r="B60" s="697" t="s">
        <v>596</v>
      </c>
      <c r="C60" s="698"/>
      <c r="D60" s="698"/>
      <c r="E60" s="698"/>
      <c r="F60" s="698"/>
      <c r="G60" s="698"/>
      <c r="H60" s="698"/>
      <c r="I60" s="698"/>
      <c r="J60" s="698"/>
      <c r="K60" s="698"/>
      <c r="L60" s="698"/>
      <c r="M60" s="698"/>
      <c r="N60" s="698"/>
      <c r="O60" s="698"/>
      <c r="P60" s="698"/>
      <c r="Q60" s="699"/>
    </row>
    <row r="61" spans="1:17" ht="12.75">
      <c r="A61" s="711"/>
      <c r="B61" s="697" t="s">
        <v>597</v>
      </c>
      <c r="C61" s="698"/>
      <c r="D61" s="698"/>
      <c r="E61" s="698"/>
      <c r="F61" s="698"/>
      <c r="G61" s="698"/>
      <c r="H61" s="698"/>
      <c r="I61" s="698"/>
      <c r="J61" s="698"/>
      <c r="K61" s="698"/>
      <c r="L61" s="698"/>
      <c r="M61" s="698"/>
      <c r="N61" s="698"/>
      <c r="O61" s="698"/>
      <c r="P61" s="698"/>
      <c r="Q61" s="699"/>
    </row>
    <row r="62" spans="1:17" ht="12.75">
      <c r="A62" s="711"/>
      <c r="B62" s="697" t="s">
        <v>598</v>
      </c>
      <c r="C62" s="698"/>
      <c r="D62" s="698"/>
      <c r="E62" s="698"/>
      <c r="F62" s="698"/>
      <c r="G62" s="698"/>
      <c r="H62" s="698"/>
      <c r="I62" s="698"/>
      <c r="J62" s="698"/>
      <c r="K62" s="698"/>
      <c r="L62" s="698"/>
      <c r="M62" s="698"/>
      <c r="N62" s="698"/>
      <c r="O62" s="698"/>
      <c r="P62" s="698"/>
      <c r="Q62" s="699"/>
    </row>
    <row r="63" spans="1:17" ht="12.75">
      <c r="A63" s="711"/>
      <c r="B63" s="697" t="s">
        <v>606</v>
      </c>
      <c r="C63" s="698"/>
      <c r="D63" s="698"/>
      <c r="E63" s="698"/>
      <c r="F63" s="698"/>
      <c r="G63" s="698"/>
      <c r="H63" s="698"/>
      <c r="I63" s="698"/>
      <c r="J63" s="698"/>
      <c r="K63" s="698"/>
      <c r="L63" s="698"/>
      <c r="M63" s="698"/>
      <c r="N63" s="698"/>
      <c r="O63" s="698"/>
      <c r="P63" s="698"/>
      <c r="Q63" s="699"/>
    </row>
    <row r="64" spans="1:17" ht="11.25">
      <c r="A64" s="711"/>
      <c r="B64" s="186" t="s">
        <v>89</v>
      </c>
      <c r="C64" s="523"/>
      <c r="D64" s="186">
        <v>926.92695</v>
      </c>
      <c r="E64" s="187">
        <v>550000</v>
      </c>
      <c r="F64" s="187">
        <f>E64-G64</f>
        <v>165000</v>
      </c>
      <c r="G64" s="187">
        <f>70%*E64</f>
        <v>385000</v>
      </c>
      <c r="H64" s="187">
        <f>E65</f>
        <v>0</v>
      </c>
      <c r="I64" s="187">
        <f>I65</f>
        <v>0</v>
      </c>
      <c r="J64" s="187"/>
      <c r="K64" s="187"/>
      <c r="L64" s="187">
        <f>L65</f>
        <v>0</v>
      </c>
      <c r="M64" s="187">
        <f>M65</f>
        <v>0</v>
      </c>
      <c r="N64" s="187"/>
      <c r="O64" s="187"/>
      <c r="P64" s="187"/>
      <c r="Q64" s="187">
        <f>Q65</f>
        <v>0</v>
      </c>
    </row>
    <row r="65" spans="1:17" ht="11.25">
      <c r="A65" s="711"/>
      <c r="B65" s="57" t="s">
        <v>594</v>
      </c>
      <c r="C65" s="525"/>
      <c r="D65" s="57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</row>
    <row r="66" spans="1:17" ht="11.25">
      <c r="A66" s="711"/>
      <c r="B66" s="57" t="s">
        <v>549</v>
      </c>
      <c r="C66" s="525"/>
      <c r="D66" s="57"/>
      <c r="E66" s="178">
        <v>550000</v>
      </c>
      <c r="F66" s="178">
        <f>E66-G66</f>
        <v>165000</v>
      </c>
      <c r="G66" s="178">
        <f>70%*E66</f>
        <v>385000</v>
      </c>
      <c r="H66" s="178">
        <f>H65</f>
        <v>0</v>
      </c>
      <c r="I66" s="178">
        <f>F66</f>
        <v>165000</v>
      </c>
      <c r="J66" s="178"/>
      <c r="K66" s="178"/>
      <c r="L66" s="178">
        <f>I66</f>
        <v>165000</v>
      </c>
      <c r="M66" s="178">
        <f>G66</f>
        <v>385000</v>
      </c>
      <c r="N66" s="178"/>
      <c r="O66" s="178"/>
      <c r="P66" s="178"/>
      <c r="Q66" s="178">
        <f>M66</f>
        <v>385000</v>
      </c>
    </row>
    <row r="67" spans="1:17" ht="11.25">
      <c r="A67" s="711"/>
      <c r="B67" s="57" t="s">
        <v>553</v>
      </c>
      <c r="C67" s="525"/>
      <c r="D67" s="57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</row>
    <row r="68" spans="1:17" ht="11.25">
      <c r="A68" s="711"/>
      <c r="B68" s="58" t="s">
        <v>595</v>
      </c>
      <c r="C68" s="526"/>
      <c r="D68" s="58"/>
      <c r="E68" s="517"/>
      <c r="F68" s="517"/>
      <c r="G68" s="517"/>
      <c r="H68" s="517"/>
      <c r="I68" s="517"/>
      <c r="J68" s="517"/>
      <c r="K68" s="517"/>
      <c r="L68" s="517"/>
      <c r="M68" s="517"/>
      <c r="N68" s="517"/>
      <c r="O68" s="517"/>
      <c r="P68" s="517"/>
      <c r="Q68" s="517"/>
    </row>
    <row r="69" spans="1:17" ht="12.75">
      <c r="A69" s="711" t="s">
        <v>607</v>
      </c>
      <c r="B69" s="697" t="s">
        <v>596</v>
      </c>
      <c r="C69" s="698"/>
      <c r="D69" s="698"/>
      <c r="E69" s="698"/>
      <c r="F69" s="698"/>
      <c r="G69" s="698"/>
      <c r="H69" s="698"/>
      <c r="I69" s="698"/>
      <c r="J69" s="698"/>
      <c r="K69" s="698"/>
      <c r="L69" s="698"/>
      <c r="M69" s="698"/>
      <c r="N69" s="698"/>
      <c r="O69" s="698"/>
      <c r="P69" s="698"/>
      <c r="Q69" s="699"/>
    </row>
    <row r="70" spans="1:17" ht="12.75">
      <c r="A70" s="711"/>
      <c r="B70" s="697" t="s">
        <v>597</v>
      </c>
      <c r="C70" s="698"/>
      <c r="D70" s="698"/>
      <c r="E70" s="698"/>
      <c r="F70" s="698"/>
      <c r="G70" s="698"/>
      <c r="H70" s="698"/>
      <c r="I70" s="698"/>
      <c r="J70" s="698"/>
      <c r="K70" s="698"/>
      <c r="L70" s="698"/>
      <c r="M70" s="698"/>
      <c r="N70" s="698"/>
      <c r="O70" s="698"/>
      <c r="P70" s="698"/>
      <c r="Q70" s="699"/>
    </row>
    <row r="71" spans="1:17" ht="12.75">
      <c r="A71" s="711"/>
      <c r="B71" s="697" t="s">
        <v>598</v>
      </c>
      <c r="C71" s="698"/>
      <c r="D71" s="698"/>
      <c r="E71" s="698"/>
      <c r="F71" s="698"/>
      <c r="G71" s="698"/>
      <c r="H71" s="698"/>
      <c r="I71" s="698"/>
      <c r="J71" s="698"/>
      <c r="K71" s="698"/>
      <c r="L71" s="698"/>
      <c r="M71" s="698"/>
      <c r="N71" s="698"/>
      <c r="O71" s="698"/>
      <c r="P71" s="698"/>
      <c r="Q71" s="699"/>
    </row>
    <row r="72" spans="1:17" ht="12.75">
      <c r="A72" s="711"/>
      <c r="B72" s="697" t="s">
        <v>608</v>
      </c>
      <c r="C72" s="698"/>
      <c r="D72" s="698"/>
      <c r="E72" s="698"/>
      <c r="F72" s="698"/>
      <c r="G72" s="698"/>
      <c r="H72" s="698"/>
      <c r="I72" s="698"/>
      <c r="J72" s="698"/>
      <c r="K72" s="698"/>
      <c r="L72" s="698"/>
      <c r="M72" s="698"/>
      <c r="N72" s="698"/>
      <c r="O72" s="698"/>
      <c r="P72" s="698"/>
      <c r="Q72" s="699"/>
    </row>
    <row r="73" spans="1:17" ht="11.25">
      <c r="A73" s="711"/>
      <c r="B73" s="186" t="s">
        <v>89</v>
      </c>
      <c r="C73" s="186"/>
      <c r="D73" s="186">
        <v>900.90015</v>
      </c>
      <c r="E73" s="187">
        <v>300000</v>
      </c>
      <c r="F73" s="187">
        <f>E73-G73</f>
        <v>90000</v>
      </c>
      <c r="G73" s="187">
        <f>70%*E73</f>
        <v>210000</v>
      </c>
      <c r="H73" s="187"/>
      <c r="I73" s="187"/>
      <c r="J73" s="187"/>
      <c r="K73" s="187"/>
      <c r="L73" s="187"/>
      <c r="M73" s="187"/>
      <c r="N73" s="187"/>
      <c r="O73" s="187"/>
      <c r="P73" s="187"/>
      <c r="Q73" s="187"/>
    </row>
    <row r="74" spans="1:17" ht="11.25">
      <c r="A74" s="711"/>
      <c r="B74" s="57" t="s">
        <v>594</v>
      </c>
      <c r="C74" s="57"/>
      <c r="D74" s="57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</row>
    <row r="75" spans="1:17" ht="11.25">
      <c r="A75" s="711"/>
      <c r="B75" s="57" t="s">
        <v>549</v>
      </c>
      <c r="C75" s="57"/>
      <c r="D75" s="57"/>
      <c r="E75" s="57"/>
      <c r="F75" s="57"/>
      <c r="G75" s="527"/>
      <c r="H75" s="178"/>
      <c r="I75" s="178"/>
      <c r="J75" s="178"/>
      <c r="K75" s="178"/>
      <c r="L75" s="178"/>
      <c r="M75" s="178"/>
      <c r="N75" s="178"/>
      <c r="O75" s="178"/>
      <c r="P75" s="178"/>
      <c r="Q75" s="178"/>
    </row>
    <row r="76" spans="1:17" ht="11.25">
      <c r="A76" s="711"/>
      <c r="B76" s="57" t="s">
        <v>553</v>
      </c>
      <c r="C76" s="57"/>
      <c r="D76" s="57"/>
      <c r="E76" s="178">
        <v>300000</v>
      </c>
      <c r="F76" s="178">
        <f>E76-G76</f>
        <v>90000</v>
      </c>
      <c r="G76" s="178">
        <f>70%*E76</f>
        <v>210000</v>
      </c>
      <c r="H76" s="178"/>
      <c r="I76" s="178"/>
      <c r="J76" s="178"/>
      <c r="K76" s="178"/>
      <c r="L76" s="178"/>
      <c r="M76" s="178"/>
      <c r="N76" s="178"/>
      <c r="O76" s="178"/>
      <c r="P76" s="178"/>
      <c r="Q76" s="178"/>
    </row>
    <row r="77" spans="1:17" ht="11.25">
      <c r="A77" s="711"/>
      <c r="B77" s="58" t="s">
        <v>595</v>
      </c>
      <c r="C77" s="58"/>
      <c r="D77" s="58"/>
      <c r="E77" s="517"/>
      <c r="F77" s="517"/>
      <c r="G77" s="517"/>
      <c r="H77" s="517"/>
      <c r="I77" s="517"/>
      <c r="J77" s="517"/>
      <c r="K77" s="517"/>
      <c r="L77" s="517"/>
      <c r="M77" s="517"/>
      <c r="N77" s="517"/>
      <c r="O77" s="517"/>
      <c r="P77" s="517"/>
      <c r="Q77" s="517"/>
    </row>
    <row r="78" spans="1:17" ht="12.75">
      <c r="A78" s="528"/>
      <c r="B78" s="697" t="s">
        <v>609</v>
      </c>
      <c r="C78" s="698"/>
      <c r="D78" s="698"/>
      <c r="E78" s="698"/>
      <c r="F78" s="698"/>
      <c r="G78" s="698"/>
      <c r="H78" s="698"/>
      <c r="I78" s="698"/>
      <c r="J78" s="698"/>
      <c r="K78" s="698"/>
      <c r="L78" s="698"/>
      <c r="M78" s="698"/>
      <c r="N78" s="698"/>
      <c r="O78" s="698"/>
      <c r="P78" s="698"/>
      <c r="Q78" s="699"/>
    </row>
    <row r="79" spans="1:17" ht="12.75">
      <c r="A79" s="529"/>
      <c r="B79" s="697" t="s">
        <v>610</v>
      </c>
      <c r="C79" s="698"/>
      <c r="D79" s="698"/>
      <c r="E79" s="698"/>
      <c r="F79" s="698"/>
      <c r="G79" s="698"/>
      <c r="H79" s="698"/>
      <c r="I79" s="698"/>
      <c r="J79" s="698"/>
      <c r="K79" s="698"/>
      <c r="L79" s="698"/>
      <c r="M79" s="698"/>
      <c r="N79" s="698"/>
      <c r="O79" s="698"/>
      <c r="P79" s="698"/>
      <c r="Q79" s="699"/>
    </row>
    <row r="80" spans="1:17" ht="12.75">
      <c r="A80" s="529"/>
      <c r="B80" s="697" t="s">
        <v>611</v>
      </c>
      <c r="C80" s="698"/>
      <c r="D80" s="698"/>
      <c r="E80" s="698"/>
      <c r="F80" s="698"/>
      <c r="G80" s="698"/>
      <c r="H80" s="698"/>
      <c r="I80" s="698"/>
      <c r="J80" s="698"/>
      <c r="K80" s="698"/>
      <c r="L80" s="698"/>
      <c r="M80" s="698"/>
      <c r="N80" s="698"/>
      <c r="O80" s="698"/>
      <c r="P80" s="698"/>
      <c r="Q80" s="699"/>
    </row>
    <row r="81" spans="1:17" ht="12.75">
      <c r="A81" s="529" t="s">
        <v>612</v>
      </c>
      <c r="B81" s="697" t="s">
        <v>613</v>
      </c>
      <c r="C81" s="698"/>
      <c r="D81" s="698"/>
      <c r="E81" s="698"/>
      <c r="F81" s="698"/>
      <c r="G81" s="698"/>
      <c r="H81" s="698"/>
      <c r="I81" s="698"/>
      <c r="J81" s="698"/>
      <c r="K81" s="698"/>
      <c r="L81" s="698"/>
      <c r="M81" s="698"/>
      <c r="N81" s="698"/>
      <c r="O81" s="698"/>
      <c r="P81" s="698"/>
      <c r="Q81" s="699"/>
    </row>
    <row r="82" spans="1:17" ht="11.25">
      <c r="A82" s="529"/>
      <c r="B82" s="186" t="s">
        <v>89</v>
      </c>
      <c r="C82" s="186"/>
      <c r="D82" s="186">
        <v>750.75023</v>
      </c>
      <c r="E82" s="187">
        <v>2000000</v>
      </c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</row>
    <row r="83" spans="1:17" ht="11.25">
      <c r="A83" s="529"/>
      <c r="B83" s="57" t="s">
        <v>594</v>
      </c>
      <c r="C83" s="57"/>
      <c r="D83" s="57"/>
      <c r="E83" s="178">
        <v>100000</v>
      </c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</row>
    <row r="84" spans="1:17" ht="11.25">
      <c r="A84" s="529"/>
      <c r="B84" s="57" t="s">
        <v>549</v>
      </c>
      <c r="C84" s="57"/>
      <c r="D84" s="57"/>
      <c r="E84" s="178">
        <v>950000</v>
      </c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</row>
    <row r="85" spans="1:17" ht="11.25">
      <c r="A85" s="529"/>
      <c r="B85" s="57" t="s">
        <v>553</v>
      </c>
      <c r="C85" s="57"/>
      <c r="D85" s="57"/>
      <c r="E85" s="178">
        <v>950000</v>
      </c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</row>
    <row r="86" spans="1:17" ht="11.25">
      <c r="A86" s="530"/>
      <c r="B86" s="58" t="s">
        <v>595</v>
      </c>
      <c r="C86" s="58"/>
      <c r="D86" s="58"/>
      <c r="E86" s="517"/>
      <c r="F86" s="517"/>
      <c r="G86" s="517"/>
      <c r="H86" s="517"/>
      <c r="I86" s="517"/>
      <c r="J86" s="517"/>
      <c r="K86" s="517"/>
      <c r="L86" s="517"/>
      <c r="M86" s="517"/>
      <c r="N86" s="517"/>
      <c r="O86" s="517"/>
      <c r="P86" s="517"/>
      <c r="Q86" s="517"/>
    </row>
    <row r="87" spans="1:17" ht="12.75">
      <c r="A87" s="712" t="s">
        <v>614</v>
      </c>
      <c r="B87" s="697" t="s">
        <v>596</v>
      </c>
      <c r="C87" s="698"/>
      <c r="D87" s="698"/>
      <c r="E87" s="698"/>
      <c r="F87" s="698"/>
      <c r="G87" s="698"/>
      <c r="H87" s="698"/>
      <c r="I87" s="698"/>
      <c r="J87" s="698"/>
      <c r="K87" s="698"/>
      <c r="L87" s="698"/>
      <c r="M87" s="698"/>
      <c r="N87" s="698"/>
      <c r="O87" s="698"/>
      <c r="P87" s="698"/>
      <c r="Q87" s="699"/>
    </row>
    <row r="88" spans="1:17" ht="12.75">
      <c r="A88" s="713"/>
      <c r="B88" s="697" t="s">
        <v>597</v>
      </c>
      <c r="C88" s="698"/>
      <c r="D88" s="698"/>
      <c r="E88" s="698"/>
      <c r="F88" s="698"/>
      <c r="G88" s="698"/>
      <c r="H88" s="698"/>
      <c r="I88" s="698"/>
      <c r="J88" s="698"/>
      <c r="K88" s="698"/>
      <c r="L88" s="698"/>
      <c r="M88" s="698"/>
      <c r="N88" s="698"/>
      <c r="O88" s="698"/>
      <c r="P88" s="698"/>
      <c r="Q88" s="699"/>
    </row>
    <row r="89" spans="1:17" ht="12.75">
      <c r="A89" s="713"/>
      <c r="B89" s="697" t="s">
        <v>598</v>
      </c>
      <c r="C89" s="698"/>
      <c r="D89" s="698"/>
      <c r="E89" s="698"/>
      <c r="F89" s="698"/>
      <c r="G89" s="698"/>
      <c r="H89" s="698"/>
      <c r="I89" s="698"/>
      <c r="J89" s="698"/>
      <c r="K89" s="698"/>
      <c r="L89" s="698"/>
      <c r="M89" s="698"/>
      <c r="N89" s="698"/>
      <c r="O89" s="698"/>
      <c r="P89" s="698"/>
      <c r="Q89" s="699"/>
    </row>
    <row r="90" spans="1:17" ht="12.75">
      <c r="A90" s="713"/>
      <c r="B90" s="697" t="s">
        <v>615</v>
      </c>
      <c r="C90" s="698"/>
      <c r="D90" s="698"/>
      <c r="E90" s="698"/>
      <c r="F90" s="698"/>
      <c r="G90" s="698"/>
      <c r="H90" s="698"/>
      <c r="I90" s="698"/>
      <c r="J90" s="698"/>
      <c r="K90" s="698"/>
      <c r="L90" s="698"/>
      <c r="M90" s="698"/>
      <c r="N90" s="698"/>
      <c r="O90" s="698"/>
      <c r="P90" s="698"/>
      <c r="Q90" s="699"/>
    </row>
    <row r="91" spans="1:17" ht="11.25">
      <c r="A91" s="713"/>
      <c r="B91" s="186" t="s">
        <v>89</v>
      </c>
      <c r="C91" s="186"/>
      <c r="D91" s="186">
        <v>700.70095</v>
      </c>
      <c r="E91" s="187">
        <v>435000</v>
      </c>
      <c r="F91" s="187">
        <f>E91-G91</f>
        <v>308250</v>
      </c>
      <c r="G91" s="187">
        <v>126750</v>
      </c>
      <c r="H91" s="187"/>
      <c r="I91" s="187"/>
      <c r="J91" s="187"/>
      <c r="K91" s="187"/>
      <c r="L91" s="187"/>
      <c r="M91" s="187"/>
      <c r="N91" s="187"/>
      <c r="O91" s="187"/>
      <c r="P91" s="187"/>
      <c r="Q91" s="187"/>
    </row>
    <row r="92" spans="1:17" ht="11.25">
      <c r="A92" s="713"/>
      <c r="B92" s="57" t="s">
        <v>594</v>
      </c>
      <c r="C92" s="57"/>
      <c r="D92" s="57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</row>
    <row r="93" spans="1:17" ht="11.25">
      <c r="A93" s="713"/>
      <c r="B93" s="57" t="s">
        <v>549</v>
      </c>
      <c r="C93" s="57"/>
      <c r="D93" s="57"/>
      <c r="E93" s="178">
        <v>435000</v>
      </c>
      <c r="F93" s="178">
        <f>E93-G93</f>
        <v>308250</v>
      </c>
      <c r="G93" s="531">
        <v>126750</v>
      </c>
      <c r="H93" s="178"/>
      <c r="I93" s="178"/>
      <c r="J93" s="178"/>
      <c r="K93" s="178"/>
      <c r="L93" s="178"/>
      <c r="M93" s="178"/>
      <c r="N93" s="178"/>
      <c r="O93" s="178"/>
      <c r="P93" s="178"/>
      <c r="Q93" s="178"/>
    </row>
    <row r="94" spans="1:17" ht="11.25">
      <c r="A94" s="713"/>
      <c r="B94" s="57" t="s">
        <v>553</v>
      </c>
      <c r="C94" s="57"/>
      <c r="D94" s="57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</row>
    <row r="95" spans="1:17" ht="11.25">
      <c r="A95" s="714"/>
      <c r="B95" s="58" t="s">
        <v>595</v>
      </c>
      <c r="C95" s="58"/>
      <c r="D95" s="58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</row>
    <row r="96" spans="1:17" ht="12.75">
      <c r="A96" s="528"/>
      <c r="B96" s="697" t="s">
        <v>596</v>
      </c>
      <c r="C96" s="698"/>
      <c r="D96" s="698"/>
      <c r="E96" s="698"/>
      <c r="F96" s="698"/>
      <c r="G96" s="698"/>
      <c r="H96" s="698"/>
      <c r="I96" s="698"/>
      <c r="J96" s="698"/>
      <c r="K96" s="698"/>
      <c r="L96" s="698"/>
      <c r="M96" s="698"/>
      <c r="N96" s="698"/>
      <c r="O96" s="698"/>
      <c r="P96" s="698"/>
      <c r="Q96" s="699"/>
    </row>
    <row r="97" spans="1:17" ht="12.75">
      <c r="A97" s="529"/>
      <c r="B97" s="697" t="s">
        <v>597</v>
      </c>
      <c r="C97" s="698"/>
      <c r="D97" s="698"/>
      <c r="E97" s="698"/>
      <c r="F97" s="698"/>
      <c r="G97" s="698"/>
      <c r="H97" s="698"/>
      <c r="I97" s="698"/>
      <c r="J97" s="698"/>
      <c r="K97" s="698"/>
      <c r="L97" s="698"/>
      <c r="M97" s="698"/>
      <c r="N97" s="698"/>
      <c r="O97" s="698"/>
      <c r="P97" s="698"/>
      <c r="Q97" s="699"/>
    </row>
    <row r="98" spans="1:17" ht="12.75">
      <c r="A98" s="529"/>
      <c r="B98" s="697" t="s">
        <v>598</v>
      </c>
      <c r="C98" s="698"/>
      <c r="D98" s="698"/>
      <c r="E98" s="698"/>
      <c r="F98" s="698"/>
      <c r="G98" s="698"/>
      <c r="H98" s="698"/>
      <c r="I98" s="698"/>
      <c r="J98" s="698"/>
      <c r="K98" s="698"/>
      <c r="L98" s="698"/>
      <c r="M98" s="698"/>
      <c r="N98" s="698"/>
      <c r="O98" s="698"/>
      <c r="P98" s="698"/>
      <c r="Q98" s="699"/>
    </row>
    <row r="99" spans="1:17" ht="12.75">
      <c r="A99" s="529"/>
      <c r="B99" s="697" t="s">
        <v>616</v>
      </c>
      <c r="C99" s="698"/>
      <c r="D99" s="698"/>
      <c r="E99" s="698"/>
      <c r="F99" s="698"/>
      <c r="G99" s="698"/>
      <c r="H99" s="698"/>
      <c r="I99" s="698"/>
      <c r="J99" s="698"/>
      <c r="K99" s="698"/>
      <c r="L99" s="698"/>
      <c r="M99" s="698"/>
      <c r="N99" s="698"/>
      <c r="O99" s="698"/>
      <c r="P99" s="698"/>
      <c r="Q99" s="699"/>
    </row>
    <row r="100" spans="1:17" ht="11.25">
      <c r="A100" s="529" t="s">
        <v>617</v>
      </c>
      <c r="B100" s="186" t="s">
        <v>89</v>
      </c>
      <c r="C100" s="186"/>
      <c r="D100" s="186">
        <v>700.70095</v>
      </c>
      <c r="E100" s="187">
        <v>420000</v>
      </c>
      <c r="F100" s="187">
        <f>E100-G100</f>
        <v>210000</v>
      </c>
      <c r="G100" s="187">
        <v>210000</v>
      </c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</row>
    <row r="101" spans="1:17" ht="11.25">
      <c r="A101" s="529"/>
      <c r="B101" s="57" t="s">
        <v>594</v>
      </c>
      <c r="C101" s="57"/>
      <c r="D101" s="57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</row>
    <row r="102" spans="1:17" ht="11.25">
      <c r="A102" s="529"/>
      <c r="B102" s="57" t="s">
        <v>549</v>
      </c>
      <c r="C102" s="57"/>
      <c r="D102" s="57"/>
      <c r="E102" s="178">
        <v>420000</v>
      </c>
      <c r="F102" s="178">
        <f>E102-G102</f>
        <v>210000</v>
      </c>
      <c r="G102" s="531">
        <v>210000</v>
      </c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</row>
    <row r="103" spans="1:17" ht="11.25">
      <c r="A103" s="529"/>
      <c r="B103" s="57" t="s">
        <v>553</v>
      </c>
      <c r="C103" s="57"/>
      <c r="D103" s="57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</row>
    <row r="104" spans="1:17" ht="11.25">
      <c r="A104" s="529"/>
      <c r="B104" s="58" t="s">
        <v>595</v>
      </c>
      <c r="C104" s="58"/>
      <c r="D104" s="58"/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</row>
    <row r="105" spans="1:17" ht="12.75">
      <c r="A105" s="528"/>
      <c r="B105" s="698" t="s">
        <v>596</v>
      </c>
      <c r="C105" s="698"/>
      <c r="D105" s="698"/>
      <c r="E105" s="698"/>
      <c r="F105" s="698"/>
      <c r="G105" s="698"/>
      <c r="H105" s="698"/>
      <c r="I105" s="698"/>
      <c r="J105" s="698"/>
      <c r="K105" s="698"/>
      <c r="L105" s="698"/>
      <c r="M105" s="698"/>
      <c r="N105" s="698"/>
      <c r="O105" s="698"/>
      <c r="P105" s="698"/>
      <c r="Q105" s="699"/>
    </row>
    <row r="106" spans="1:17" ht="12.75">
      <c r="A106" s="529"/>
      <c r="B106" s="698" t="s">
        <v>597</v>
      </c>
      <c r="C106" s="698"/>
      <c r="D106" s="698"/>
      <c r="E106" s="698"/>
      <c r="F106" s="698"/>
      <c r="G106" s="698"/>
      <c r="H106" s="698"/>
      <c r="I106" s="698"/>
      <c r="J106" s="698"/>
      <c r="K106" s="698"/>
      <c r="L106" s="698"/>
      <c r="M106" s="698"/>
      <c r="N106" s="698"/>
      <c r="O106" s="698"/>
      <c r="P106" s="698"/>
      <c r="Q106" s="699"/>
    </row>
    <row r="107" spans="1:17" ht="12.75">
      <c r="A107" s="529"/>
      <c r="B107" s="698" t="s">
        <v>598</v>
      </c>
      <c r="C107" s="698"/>
      <c r="D107" s="698"/>
      <c r="E107" s="698"/>
      <c r="F107" s="698"/>
      <c r="G107" s="698"/>
      <c r="H107" s="698"/>
      <c r="I107" s="698"/>
      <c r="J107" s="698"/>
      <c r="K107" s="698"/>
      <c r="L107" s="698"/>
      <c r="M107" s="698"/>
      <c r="N107" s="698"/>
      <c r="O107" s="698"/>
      <c r="P107" s="698"/>
      <c r="Q107" s="699"/>
    </row>
    <row r="108" spans="1:17" ht="12.75">
      <c r="A108" s="529"/>
      <c r="B108" s="698" t="s">
        <v>618</v>
      </c>
      <c r="C108" s="698"/>
      <c r="D108" s="698"/>
      <c r="E108" s="698"/>
      <c r="F108" s="698"/>
      <c r="G108" s="698"/>
      <c r="H108" s="698"/>
      <c r="I108" s="698"/>
      <c r="J108" s="698"/>
      <c r="K108" s="698"/>
      <c r="L108" s="698"/>
      <c r="M108" s="698"/>
      <c r="N108" s="698"/>
      <c r="O108" s="698"/>
      <c r="P108" s="698"/>
      <c r="Q108" s="699"/>
    </row>
    <row r="109" spans="1:17" ht="11.25">
      <c r="A109" s="529" t="s">
        <v>619</v>
      </c>
      <c r="B109" s="532" t="s">
        <v>89</v>
      </c>
      <c r="C109" s="186"/>
      <c r="D109" s="186">
        <v>700.70095</v>
      </c>
      <c r="E109" s="187">
        <v>420000</v>
      </c>
      <c r="F109" s="187">
        <f>E109-G109</f>
        <v>210000</v>
      </c>
      <c r="G109" s="187">
        <v>210000</v>
      </c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</row>
    <row r="110" spans="1:17" ht="11.25">
      <c r="A110" s="529"/>
      <c r="B110" s="533" t="s">
        <v>594</v>
      </c>
      <c r="C110" s="57"/>
      <c r="D110" s="57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</row>
    <row r="111" spans="1:17" ht="11.25">
      <c r="A111" s="529"/>
      <c r="B111" s="533" t="s">
        <v>549</v>
      </c>
      <c r="C111" s="57"/>
      <c r="D111" s="57"/>
      <c r="E111" s="178"/>
      <c r="F111" s="178"/>
      <c r="G111" s="531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</row>
    <row r="112" spans="1:17" ht="11.25">
      <c r="A112" s="529"/>
      <c r="B112" s="533" t="s">
        <v>553</v>
      </c>
      <c r="C112" s="57"/>
      <c r="D112" s="57"/>
      <c r="E112" s="178">
        <v>420000</v>
      </c>
      <c r="F112" s="178">
        <f>E112-G112</f>
        <v>210000</v>
      </c>
      <c r="G112" s="531">
        <v>210000</v>
      </c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</row>
    <row r="113" spans="1:17" ht="11.25">
      <c r="A113" s="530"/>
      <c r="B113" s="534" t="s">
        <v>595</v>
      </c>
      <c r="C113" s="58"/>
      <c r="D113" s="58"/>
      <c r="E113" s="517"/>
      <c r="F113" s="517"/>
      <c r="G113" s="517"/>
      <c r="H113" s="517"/>
      <c r="I113" s="517"/>
      <c r="J113" s="517"/>
      <c r="K113" s="517"/>
      <c r="L113" s="517"/>
      <c r="M113" s="517"/>
      <c r="N113" s="517"/>
      <c r="O113" s="517"/>
      <c r="P113" s="517"/>
      <c r="Q113" s="517"/>
    </row>
    <row r="114" spans="1:17" ht="12.75">
      <c r="A114" s="529"/>
      <c r="B114" s="697" t="s">
        <v>596</v>
      </c>
      <c r="C114" s="698"/>
      <c r="D114" s="698"/>
      <c r="E114" s="698"/>
      <c r="F114" s="698"/>
      <c r="G114" s="698"/>
      <c r="H114" s="698"/>
      <c r="I114" s="698"/>
      <c r="J114" s="698"/>
      <c r="K114" s="698"/>
      <c r="L114" s="698"/>
      <c r="M114" s="698"/>
      <c r="N114" s="698"/>
      <c r="O114" s="698"/>
      <c r="P114" s="698"/>
      <c r="Q114" s="699"/>
    </row>
    <row r="115" spans="1:17" ht="12.75">
      <c r="A115" s="529"/>
      <c r="B115" s="697" t="s">
        <v>597</v>
      </c>
      <c r="C115" s="698"/>
      <c r="D115" s="698"/>
      <c r="E115" s="698"/>
      <c r="F115" s="698"/>
      <c r="G115" s="698"/>
      <c r="H115" s="698"/>
      <c r="I115" s="698"/>
      <c r="J115" s="698"/>
      <c r="K115" s="698"/>
      <c r="L115" s="698"/>
      <c r="M115" s="698"/>
      <c r="N115" s="698"/>
      <c r="O115" s="698"/>
      <c r="P115" s="698"/>
      <c r="Q115" s="699"/>
    </row>
    <row r="116" spans="1:17" ht="12.75">
      <c r="A116" s="529"/>
      <c r="B116" s="697" t="s">
        <v>598</v>
      </c>
      <c r="C116" s="698"/>
      <c r="D116" s="698"/>
      <c r="E116" s="698"/>
      <c r="F116" s="698"/>
      <c r="G116" s="698"/>
      <c r="H116" s="698"/>
      <c r="I116" s="698"/>
      <c r="J116" s="698"/>
      <c r="K116" s="698"/>
      <c r="L116" s="698"/>
      <c r="M116" s="698"/>
      <c r="N116" s="698"/>
      <c r="O116" s="698"/>
      <c r="P116" s="698"/>
      <c r="Q116" s="699"/>
    </row>
    <row r="117" spans="1:17" ht="12.75">
      <c r="A117" s="529"/>
      <c r="B117" s="697" t="s">
        <v>620</v>
      </c>
      <c r="C117" s="698"/>
      <c r="D117" s="698"/>
      <c r="E117" s="698"/>
      <c r="F117" s="698"/>
      <c r="G117" s="698"/>
      <c r="H117" s="698"/>
      <c r="I117" s="698"/>
      <c r="J117" s="698"/>
      <c r="K117" s="698"/>
      <c r="L117" s="698"/>
      <c r="M117" s="698"/>
      <c r="N117" s="698"/>
      <c r="O117" s="698"/>
      <c r="P117" s="698"/>
      <c r="Q117" s="699"/>
    </row>
    <row r="118" spans="1:17" ht="11.25">
      <c r="A118" s="529" t="s">
        <v>621</v>
      </c>
      <c r="B118" s="186" t="s">
        <v>89</v>
      </c>
      <c r="C118" s="186"/>
      <c r="D118" s="186">
        <v>700.70095</v>
      </c>
      <c r="E118" s="187">
        <v>280000</v>
      </c>
      <c r="F118" s="187">
        <f>E118-G118</f>
        <v>137000</v>
      </c>
      <c r="G118" s="187">
        <v>143000</v>
      </c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</row>
    <row r="119" spans="1:17" ht="11.25">
      <c r="A119" s="529"/>
      <c r="B119" s="57" t="s">
        <v>594</v>
      </c>
      <c r="C119" s="57"/>
      <c r="D119" s="57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</row>
    <row r="120" spans="1:17" ht="11.25">
      <c r="A120" s="529"/>
      <c r="B120" s="57" t="s">
        <v>549</v>
      </c>
      <c r="C120" s="57"/>
      <c r="D120" s="57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</row>
    <row r="121" spans="1:17" ht="11.25">
      <c r="A121" s="529"/>
      <c r="B121" s="57" t="s">
        <v>553</v>
      </c>
      <c r="C121" s="57"/>
      <c r="D121" s="57"/>
      <c r="E121" s="178">
        <v>280000</v>
      </c>
      <c r="F121" s="178">
        <f>E121-G121</f>
        <v>137000</v>
      </c>
      <c r="G121" s="178">
        <v>143000</v>
      </c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</row>
    <row r="122" spans="1:17" ht="11.25">
      <c r="A122" s="530"/>
      <c r="B122" s="58" t="s">
        <v>595</v>
      </c>
      <c r="C122" s="58"/>
      <c r="D122" s="58"/>
      <c r="E122" s="517"/>
      <c r="F122" s="517"/>
      <c r="G122" s="517"/>
      <c r="H122" s="517"/>
      <c r="I122" s="517"/>
      <c r="J122" s="517"/>
      <c r="K122" s="517"/>
      <c r="L122" s="517"/>
      <c r="M122" s="517"/>
      <c r="N122" s="517"/>
      <c r="O122" s="517"/>
      <c r="P122" s="517"/>
      <c r="Q122" s="517"/>
    </row>
    <row r="123" spans="1:17" ht="12.75" customHeight="1">
      <c r="A123" s="703" t="s">
        <v>94</v>
      </c>
      <c r="B123" s="704"/>
      <c r="C123" s="703"/>
      <c r="D123" s="704"/>
      <c r="E123" s="175">
        <f>SUM(E19,E28,E37,E46,E55,E64,E73,E82,E91,E100,E109,E118)</f>
        <v>20445000</v>
      </c>
      <c r="F123" s="175">
        <f aca="true" t="shared" si="1" ref="F123:Q123">SUM(F19,F28,F37,F46,F55,F64,F73,F82,F91,F100,F109,F118)</f>
        <v>8562250</v>
      </c>
      <c r="G123" s="175">
        <f t="shared" si="1"/>
        <v>9882750</v>
      </c>
      <c r="H123" s="175">
        <f t="shared" si="1"/>
        <v>750000</v>
      </c>
      <c r="I123" s="175">
        <f t="shared" si="1"/>
        <v>325000</v>
      </c>
      <c r="J123" s="175">
        <f t="shared" si="1"/>
        <v>0</v>
      </c>
      <c r="K123" s="175">
        <f t="shared" si="1"/>
        <v>0</v>
      </c>
      <c r="L123" s="175">
        <f t="shared" si="1"/>
        <v>325000</v>
      </c>
      <c r="M123" s="175">
        <f t="shared" si="1"/>
        <v>425000</v>
      </c>
      <c r="N123" s="175">
        <f t="shared" si="1"/>
        <v>0</v>
      </c>
      <c r="O123" s="175">
        <f t="shared" si="1"/>
        <v>0</v>
      </c>
      <c r="P123" s="175">
        <f t="shared" si="1"/>
        <v>0</v>
      </c>
      <c r="Q123" s="175">
        <f t="shared" si="1"/>
        <v>369000</v>
      </c>
    </row>
    <row r="125" spans="1:10" ht="12.75" customHeight="1">
      <c r="A125" s="715" t="s">
        <v>95</v>
      </c>
      <c r="B125" s="715"/>
      <c r="C125" s="715"/>
      <c r="D125" s="715"/>
      <c r="E125" s="715"/>
      <c r="F125" s="715"/>
      <c r="G125" s="715"/>
      <c r="H125" s="715"/>
      <c r="I125" s="715"/>
      <c r="J125" s="715"/>
    </row>
    <row r="126" spans="1:10" ht="11.25">
      <c r="A126" s="71" t="s">
        <v>113</v>
      </c>
      <c r="B126" s="71"/>
      <c r="C126" s="71"/>
      <c r="D126" s="71"/>
      <c r="E126" s="71"/>
      <c r="F126" s="71"/>
      <c r="G126" s="71"/>
      <c r="H126" s="71"/>
      <c r="I126" s="71"/>
      <c r="J126" s="71"/>
    </row>
    <row r="127" spans="1:10" ht="11.25">
      <c r="A127" s="71" t="s">
        <v>650</v>
      </c>
      <c r="B127" s="71"/>
      <c r="C127" s="71"/>
      <c r="D127" s="71"/>
      <c r="E127" s="71"/>
      <c r="F127" s="535"/>
      <c r="G127" s="71"/>
      <c r="H127" s="71"/>
      <c r="I127" s="71"/>
      <c r="J127" s="71"/>
    </row>
    <row r="132" spans="1:17" ht="12.75">
      <c r="A132" s="716"/>
      <c r="B132" s="717"/>
      <c r="C132" s="717"/>
      <c r="D132" s="717"/>
      <c r="E132" s="717"/>
      <c r="F132" s="717"/>
      <c r="G132" s="717"/>
      <c r="H132" s="717"/>
      <c r="I132" s="717"/>
      <c r="J132" s="717"/>
      <c r="K132" s="717"/>
      <c r="L132" s="717"/>
      <c r="M132" s="717"/>
      <c r="N132" s="717"/>
      <c r="O132" s="717"/>
      <c r="P132" s="717"/>
      <c r="Q132" s="717"/>
    </row>
    <row r="133" spans="1:17" ht="12.75">
      <c r="A133" s="716"/>
      <c r="B133" s="717"/>
      <c r="C133" s="717"/>
      <c r="D133" s="717"/>
      <c r="E133" s="717"/>
      <c r="F133" s="717"/>
      <c r="G133" s="717"/>
      <c r="H133" s="717"/>
      <c r="I133" s="717"/>
      <c r="J133" s="717"/>
      <c r="K133" s="717"/>
      <c r="L133" s="717"/>
      <c r="M133" s="717"/>
      <c r="N133" s="717"/>
      <c r="O133" s="717"/>
      <c r="P133" s="717"/>
      <c r="Q133" s="717"/>
    </row>
    <row r="134" spans="1:17" ht="12.75">
      <c r="A134" s="716"/>
      <c r="B134" s="717"/>
      <c r="C134" s="717"/>
      <c r="D134" s="717"/>
      <c r="E134" s="717"/>
      <c r="F134" s="717"/>
      <c r="G134" s="717"/>
      <c r="H134" s="717"/>
      <c r="I134" s="717"/>
      <c r="J134" s="717"/>
      <c r="K134" s="717"/>
      <c r="L134" s="717"/>
      <c r="M134" s="717"/>
      <c r="N134" s="717"/>
      <c r="O134" s="717"/>
      <c r="P134" s="717"/>
      <c r="Q134" s="717"/>
    </row>
    <row r="135" spans="1:17" ht="12.75">
      <c r="A135" s="716"/>
      <c r="B135" s="717"/>
      <c r="C135" s="717"/>
      <c r="D135" s="717"/>
      <c r="E135" s="717"/>
      <c r="F135" s="717"/>
      <c r="G135" s="717"/>
      <c r="H135" s="717"/>
      <c r="I135" s="717"/>
      <c r="J135" s="717"/>
      <c r="K135" s="717"/>
      <c r="L135" s="717"/>
      <c r="M135" s="717"/>
      <c r="N135" s="717"/>
      <c r="O135" s="717"/>
      <c r="P135" s="717"/>
      <c r="Q135" s="717"/>
    </row>
    <row r="136" spans="1:17" ht="11.25">
      <c r="A136" s="716"/>
      <c r="B136" s="536"/>
      <c r="C136" s="536"/>
      <c r="D136" s="536"/>
      <c r="E136" s="537"/>
      <c r="F136" s="537"/>
      <c r="G136" s="537"/>
      <c r="H136" s="537"/>
      <c r="I136" s="537"/>
      <c r="J136" s="537"/>
      <c r="K136" s="537"/>
      <c r="L136" s="537"/>
      <c r="M136" s="537"/>
      <c r="N136" s="537"/>
      <c r="O136" s="537"/>
      <c r="P136" s="537"/>
      <c r="Q136" s="537"/>
    </row>
    <row r="137" spans="1:17" ht="11.25">
      <c r="A137" s="716"/>
      <c r="B137" s="536"/>
      <c r="C137" s="536"/>
      <c r="D137" s="536"/>
      <c r="E137" s="537"/>
      <c r="F137" s="537"/>
      <c r="G137" s="537"/>
      <c r="H137" s="537"/>
      <c r="I137" s="537"/>
      <c r="J137" s="537"/>
      <c r="K137" s="537"/>
      <c r="L137" s="537"/>
      <c r="M137" s="537"/>
      <c r="N137" s="537"/>
      <c r="O137" s="537"/>
      <c r="P137" s="537"/>
      <c r="Q137" s="537"/>
    </row>
    <row r="138" spans="1:17" ht="11.25">
      <c r="A138" s="716"/>
      <c r="B138" s="536"/>
      <c r="C138" s="536"/>
      <c r="D138" s="536"/>
      <c r="E138" s="537"/>
      <c r="F138" s="537"/>
      <c r="G138" s="537"/>
      <c r="H138" s="537"/>
      <c r="I138" s="537"/>
      <c r="J138" s="537"/>
      <c r="K138" s="537"/>
      <c r="L138" s="537"/>
      <c r="M138" s="537"/>
      <c r="N138" s="537"/>
      <c r="O138" s="537"/>
      <c r="P138" s="537"/>
      <c r="Q138" s="537"/>
    </row>
    <row r="139" spans="1:17" ht="11.25">
      <c r="A139" s="716"/>
      <c r="B139" s="536"/>
      <c r="C139" s="536"/>
      <c r="D139" s="536"/>
      <c r="E139" s="537"/>
      <c r="F139" s="537"/>
      <c r="G139" s="537"/>
      <c r="H139" s="537"/>
      <c r="I139" s="537"/>
      <c r="J139" s="537"/>
      <c r="K139" s="537"/>
      <c r="L139" s="537"/>
      <c r="M139" s="537"/>
      <c r="N139" s="537"/>
      <c r="O139" s="537"/>
      <c r="P139" s="537"/>
      <c r="Q139" s="537"/>
    </row>
    <row r="140" spans="1:17" ht="11.25">
      <c r="A140" s="716"/>
      <c r="B140" s="536"/>
      <c r="C140" s="536"/>
      <c r="D140" s="536"/>
      <c r="E140" s="537"/>
      <c r="F140" s="537"/>
      <c r="G140" s="537"/>
      <c r="H140" s="537"/>
      <c r="I140" s="537"/>
      <c r="J140" s="537"/>
      <c r="K140" s="537"/>
      <c r="L140" s="537"/>
      <c r="M140" s="537"/>
      <c r="N140" s="537"/>
      <c r="O140" s="537"/>
      <c r="P140" s="537"/>
      <c r="Q140" s="537"/>
    </row>
    <row r="141" spans="1:17" ht="12.75">
      <c r="A141" s="716"/>
      <c r="B141" s="717"/>
      <c r="C141" s="717"/>
      <c r="D141" s="717"/>
      <c r="E141" s="717"/>
      <c r="F141" s="717"/>
      <c r="G141" s="717"/>
      <c r="H141" s="717"/>
      <c r="I141" s="717"/>
      <c r="J141" s="717"/>
      <c r="K141" s="717"/>
      <c r="L141" s="717"/>
      <c r="M141" s="717"/>
      <c r="N141" s="717"/>
      <c r="O141" s="717"/>
      <c r="P141" s="717"/>
      <c r="Q141" s="717"/>
    </row>
    <row r="142" spans="1:17" ht="12.75">
      <c r="A142" s="716"/>
      <c r="B142" s="717"/>
      <c r="C142" s="717"/>
      <c r="D142" s="717"/>
      <c r="E142" s="717"/>
      <c r="F142" s="717"/>
      <c r="G142" s="717"/>
      <c r="H142" s="717"/>
      <c r="I142" s="717"/>
      <c r="J142" s="717"/>
      <c r="K142" s="717"/>
      <c r="L142" s="717"/>
      <c r="M142" s="717"/>
      <c r="N142" s="717"/>
      <c r="O142" s="717"/>
      <c r="P142" s="717"/>
      <c r="Q142" s="717"/>
    </row>
    <row r="143" spans="1:17" ht="12.75">
      <c r="A143" s="716"/>
      <c r="B143" s="717"/>
      <c r="C143" s="717"/>
      <c r="D143" s="717"/>
      <c r="E143" s="717"/>
      <c r="F143" s="717"/>
      <c r="G143" s="717"/>
      <c r="H143" s="717"/>
      <c r="I143" s="717"/>
      <c r="J143" s="717"/>
      <c r="K143" s="717"/>
      <c r="L143" s="717"/>
      <c r="M143" s="717"/>
      <c r="N143" s="717"/>
      <c r="O143" s="717"/>
      <c r="P143" s="717"/>
      <c r="Q143" s="717"/>
    </row>
    <row r="144" spans="1:17" ht="12.75" customHeight="1">
      <c r="A144" s="716"/>
      <c r="B144" s="717"/>
      <c r="C144" s="717"/>
      <c r="D144" s="717"/>
      <c r="E144" s="717"/>
      <c r="F144" s="717"/>
      <c r="G144" s="717"/>
      <c r="H144" s="717"/>
      <c r="I144" s="717"/>
      <c r="J144" s="717"/>
      <c r="K144" s="717"/>
      <c r="L144" s="717"/>
      <c r="M144" s="717"/>
      <c r="N144" s="717"/>
      <c r="O144" s="717"/>
      <c r="P144" s="717"/>
      <c r="Q144" s="717"/>
    </row>
    <row r="145" spans="1:17" ht="11.25">
      <c r="A145" s="716"/>
      <c r="B145" s="536"/>
      <c r="C145" s="536"/>
      <c r="D145" s="536"/>
      <c r="E145" s="537"/>
      <c r="F145" s="537"/>
      <c r="G145" s="537"/>
      <c r="H145" s="537"/>
      <c r="I145" s="537"/>
      <c r="J145" s="537"/>
      <c r="K145" s="537"/>
      <c r="L145" s="537"/>
      <c r="M145" s="537"/>
      <c r="N145" s="537"/>
      <c r="O145" s="537"/>
      <c r="P145" s="537"/>
      <c r="Q145" s="537"/>
    </row>
    <row r="146" spans="1:17" ht="11.25">
      <c r="A146" s="716"/>
      <c r="B146" s="536"/>
      <c r="C146" s="536"/>
      <c r="D146" s="536"/>
      <c r="E146" s="537"/>
      <c r="F146" s="537"/>
      <c r="G146" s="537"/>
      <c r="H146" s="537"/>
      <c r="I146" s="537"/>
      <c r="J146" s="537"/>
      <c r="K146" s="537"/>
      <c r="L146" s="537"/>
      <c r="M146" s="537"/>
      <c r="N146" s="537"/>
      <c r="O146" s="537"/>
      <c r="P146" s="537"/>
      <c r="Q146" s="537"/>
    </row>
    <row r="147" spans="1:17" ht="11.25">
      <c r="A147" s="716"/>
      <c r="B147" s="536"/>
      <c r="C147" s="536"/>
      <c r="D147" s="536"/>
      <c r="E147" s="537"/>
      <c r="F147" s="537"/>
      <c r="G147" s="537"/>
      <c r="H147" s="537"/>
      <c r="I147" s="537"/>
      <c r="J147" s="537"/>
      <c r="K147" s="537"/>
      <c r="L147" s="537"/>
      <c r="M147" s="537"/>
      <c r="N147" s="537"/>
      <c r="O147" s="537"/>
      <c r="P147" s="537"/>
      <c r="Q147" s="537"/>
    </row>
    <row r="148" spans="1:17" ht="11.25">
      <c r="A148" s="716"/>
      <c r="B148" s="536"/>
      <c r="C148" s="536"/>
      <c r="D148" s="536"/>
      <c r="E148" s="537"/>
      <c r="F148" s="537"/>
      <c r="G148" s="537"/>
      <c r="H148" s="537"/>
      <c r="I148" s="537"/>
      <c r="J148" s="537"/>
      <c r="K148" s="537"/>
      <c r="L148" s="537"/>
      <c r="M148" s="537"/>
      <c r="N148" s="537"/>
      <c r="O148" s="537"/>
      <c r="P148" s="537"/>
      <c r="Q148" s="537"/>
    </row>
    <row r="149" spans="1:17" ht="11.25">
      <c r="A149" s="716"/>
      <c r="B149" s="536"/>
      <c r="C149" s="536"/>
      <c r="D149" s="536"/>
      <c r="E149" s="537"/>
      <c r="F149" s="537"/>
      <c r="G149" s="537"/>
      <c r="H149" s="537"/>
      <c r="I149" s="537"/>
      <c r="J149" s="537"/>
      <c r="K149" s="537"/>
      <c r="L149" s="537"/>
      <c r="M149" s="537"/>
      <c r="N149" s="537"/>
      <c r="O149" s="537"/>
      <c r="P149" s="537"/>
      <c r="Q149" s="537"/>
    </row>
    <row r="150" spans="1:17" ht="12.75">
      <c r="A150" s="716"/>
      <c r="B150" s="717"/>
      <c r="C150" s="717"/>
      <c r="D150" s="717"/>
      <c r="E150" s="717"/>
      <c r="F150" s="717"/>
      <c r="G150" s="717"/>
      <c r="H150" s="717"/>
      <c r="I150" s="717"/>
      <c r="J150" s="717"/>
      <c r="K150" s="717"/>
      <c r="L150" s="717"/>
      <c r="M150" s="717"/>
      <c r="N150" s="717"/>
      <c r="O150" s="717"/>
      <c r="P150" s="717"/>
      <c r="Q150" s="717"/>
    </row>
    <row r="151" spans="1:17" ht="12.75">
      <c r="A151" s="716"/>
      <c r="B151" s="717"/>
      <c r="C151" s="717"/>
      <c r="D151" s="717"/>
      <c r="E151" s="717"/>
      <c r="F151" s="717"/>
      <c r="G151" s="717"/>
      <c r="H151" s="717"/>
      <c r="I151" s="717"/>
      <c r="J151" s="717"/>
      <c r="K151" s="717"/>
      <c r="L151" s="717"/>
      <c r="M151" s="717"/>
      <c r="N151" s="717"/>
      <c r="O151" s="717"/>
      <c r="P151" s="717"/>
      <c r="Q151" s="717"/>
    </row>
    <row r="152" spans="1:17" ht="12.75">
      <c r="A152" s="716"/>
      <c r="B152" s="717"/>
      <c r="C152" s="717"/>
      <c r="D152" s="717"/>
      <c r="E152" s="717"/>
      <c r="F152" s="717"/>
      <c r="G152" s="717"/>
      <c r="H152" s="717"/>
      <c r="I152" s="717"/>
      <c r="J152" s="717"/>
      <c r="K152" s="717"/>
      <c r="L152" s="717"/>
      <c r="M152" s="717"/>
      <c r="N152" s="717"/>
      <c r="O152" s="717"/>
      <c r="P152" s="717"/>
      <c r="Q152" s="717"/>
    </row>
    <row r="153" spans="1:17" ht="12.75">
      <c r="A153" s="716"/>
      <c r="B153" s="717"/>
      <c r="C153" s="717"/>
      <c r="D153" s="717"/>
      <c r="E153" s="717"/>
      <c r="F153" s="717"/>
      <c r="G153" s="717"/>
      <c r="H153" s="717"/>
      <c r="I153" s="717"/>
      <c r="J153" s="717"/>
      <c r="K153" s="717"/>
      <c r="L153" s="717"/>
      <c r="M153" s="717"/>
      <c r="N153" s="717"/>
      <c r="O153" s="717"/>
      <c r="P153" s="717"/>
      <c r="Q153" s="717"/>
    </row>
    <row r="154" spans="1:17" ht="11.25">
      <c r="A154" s="716"/>
      <c r="B154" s="536"/>
      <c r="C154" s="536"/>
      <c r="D154" s="536"/>
      <c r="E154" s="537"/>
      <c r="F154" s="537"/>
      <c r="G154" s="537"/>
      <c r="H154" s="537"/>
      <c r="I154" s="537"/>
      <c r="J154" s="537"/>
      <c r="K154" s="537"/>
      <c r="L154" s="537"/>
      <c r="M154" s="537"/>
      <c r="N154" s="537"/>
      <c r="O154" s="537"/>
      <c r="P154" s="537"/>
      <c r="Q154" s="537"/>
    </row>
    <row r="155" spans="1:17" ht="11.25">
      <c r="A155" s="716"/>
      <c r="B155" s="536"/>
      <c r="C155" s="536"/>
      <c r="D155" s="536"/>
      <c r="E155" s="537"/>
      <c r="F155" s="537"/>
      <c r="G155" s="537"/>
      <c r="H155" s="537"/>
      <c r="I155" s="537"/>
      <c r="J155" s="537"/>
      <c r="K155" s="537"/>
      <c r="L155" s="537"/>
      <c r="M155" s="537"/>
      <c r="N155" s="537"/>
      <c r="O155" s="537"/>
      <c r="P155" s="537"/>
      <c r="Q155" s="537"/>
    </row>
    <row r="156" spans="1:17" ht="11.25">
      <c r="A156" s="716"/>
      <c r="B156" s="536"/>
      <c r="C156" s="536"/>
      <c r="D156" s="536"/>
      <c r="E156" s="537"/>
      <c r="F156" s="537"/>
      <c r="G156" s="537"/>
      <c r="H156" s="537"/>
      <c r="I156" s="537"/>
      <c r="J156" s="537"/>
      <c r="K156" s="537"/>
      <c r="L156" s="537"/>
      <c r="M156" s="537"/>
      <c r="N156" s="537"/>
      <c r="O156" s="537"/>
      <c r="P156" s="537"/>
      <c r="Q156" s="537"/>
    </row>
    <row r="157" spans="1:17" ht="11.25">
      <c r="A157" s="716"/>
      <c r="B157" s="536"/>
      <c r="C157" s="536"/>
      <c r="D157" s="536"/>
      <c r="E157" s="537"/>
      <c r="F157" s="537"/>
      <c r="G157" s="537"/>
      <c r="H157" s="537"/>
      <c r="I157" s="537"/>
      <c r="J157" s="537"/>
      <c r="K157" s="537"/>
      <c r="L157" s="537"/>
      <c r="M157" s="537"/>
      <c r="N157" s="537"/>
      <c r="O157" s="537"/>
      <c r="P157" s="537"/>
      <c r="Q157" s="537"/>
    </row>
    <row r="158" spans="1:17" ht="11.25">
      <c r="A158" s="716"/>
      <c r="B158" s="536"/>
      <c r="C158" s="536"/>
      <c r="D158" s="536"/>
      <c r="E158" s="537"/>
      <c r="F158" s="537"/>
      <c r="G158" s="537"/>
      <c r="H158" s="537"/>
      <c r="I158" s="537"/>
      <c r="J158" s="537"/>
      <c r="K158" s="537"/>
      <c r="L158" s="537"/>
      <c r="M158" s="537"/>
      <c r="N158" s="537"/>
      <c r="O158" s="537"/>
      <c r="P158" s="537"/>
      <c r="Q158" s="537"/>
    </row>
    <row r="159" spans="1:17" ht="12.75">
      <c r="A159" s="716"/>
      <c r="B159" s="717"/>
      <c r="C159" s="717"/>
      <c r="D159" s="717"/>
      <c r="E159" s="717"/>
      <c r="F159" s="717"/>
      <c r="G159" s="717"/>
      <c r="H159" s="717"/>
      <c r="I159" s="717"/>
      <c r="J159" s="717"/>
      <c r="K159" s="717"/>
      <c r="L159" s="717"/>
      <c r="M159" s="717"/>
      <c r="N159" s="717"/>
      <c r="O159" s="717"/>
      <c r="P159" s="717"/>
      <c r="Q159" s="717"/>
    </row>
    <row r="160" spans="1:17" ht="12.75">
      <c r="A160" s="716"/>
      <c r="B160" s="717"/>
      <c r="C160" s="717"/>
      <c r="D160" s="717"/>
      <c r="E160" s="717"/>
      <c r="F160" s="717"/>
      <c r="G160" s="717"/>
      <c r="H160" s="717"/>
      <c r="I160" s="717"/>
      <c r="J160" s="717"/>
      <c r="K160" s="717"/>
      <c r="L160" s="717"/>
      <c r="M160" s="717"/>
      <c r="N160" s="717"/>
      <c r="O160" s="717"/>
      <c r="P160" s="717"/>
      <c r="Q160" s="717"/>
    </row>
    <row r="161" spans="1:17" ht="12.75">
      <c r="A161" s="716"/>
      <c r="B161" s="717"/>
      <c r="C161" s="717"/>
      <c r="D161" s="717"/>
      <c r="E161" s="717"/>
      <c r="F161" s="717"/>
      <c r="G161" s="717"/>
      <c r="H161" s="717"/>
      <c r="I161" s="717"/>
      <c r="J161" s="717"/>
      <c r="K161" s="717"/>
      <c r="L161" s="717"/>
      <c r="M161" s="717"/>
      <c r="N161" s="717"/>
      <c r="O161" s="717"/>
      <c r="P161" s="717"/>
      <c r="Q161" s="717"/>
    </row>
    <row r="162" spans="1:17" ht="12.75">
      <c r="A162" s="716"/>
      <c r="B162" s="717"/>
      <c r="C162" s="717"/>
      <c r="D162" s="717"/>
      <c r="E162" s="717"/>
      <c r="F162" s="717"/>
      <c r="G162" s="717"/>
      <c r="H162" s="717"/>
      <c r="I162" s="717"/>
      <c r="J162" s="717"/>
      <c r="K162" s="717"/>
      <c r="L162" s="717"/>
      <c r="M162" s="717"/>
      <c r="N162" s="717"/>
      <c r="O162" s="717"/>
      <c r="P162" s="717"/>
      <c r="Q162" s="717"/>
    </row>
    <row r="163" spans="1:17" ht="11.25">
      <c r="A163" s="716"/>
      <c r="B163" s="536"/>
      <c r="C163" s="536"/>
      <c r="D163" s="536"/>
      <c r="E163" s="537"/>
      <c r="F163" s="537"/>
      <c r="G163" s="537"/>
      <c r="H163" s="537"/>
      <c r="I163" s="537"/>
      <c r="J163" s="537"/>
      <c r="K163" s="537"/>
      <c r="L163" s="537"/>
      <c r="M163" s="537"/>
      <c r="N163" s="537"/>
      <c r="O163" s="537"/>
      <c r="P163" s="537"/>
      <c r="Q163" s="537"/>
    </row>
    <row r="164" spans="1:17" ht="11.25">
      <c r="A164" s="716"/>
      <c r="B164" s="536"/>
      <c r="C164" s="536"/>
      <c r="D164" s="536"/>
      <c r="E164" s="537"/>
      <c r="F164" s="537"/>
      <c r="G164" s="537"/>
      <c r="H164" s="537"/>
      <c r="I164" s="537"/>
      <c r="J164" s="537"/>
      <c r="K164" s="537"/>
      <c r="L164" s="537"/>
      <c r="M164" s="537"/>
      <c r="N164" s="537"/>
      <c r="O164" s="537"/>
      <c r="P164" s="537"/>
      <c r="Q164" s="537"/>
    </row>
    <row r="165" spans="1:17" ht="11.25">
      <c r="A165" s="716"/>
      <c r="B165" s="536"/>
      <c r="C165" s="536"/>
      <c r="D165" s="536"/>
      <c r="E165" s="537"/>
      <c r="F165" s="537"/>
      <c r="G165" s="537"/>
      <c r="H165" s="537"/>
      <c r="I165" s="537"/>
      <c r="J165" s="537"/>
      <c r="K165" s="537"/>
      <c r="L165" s="537"/>
      <c r="M165" s="537"/>
      <c r="N165" s="537"/>
      <c r="O165" s="537"/>
      <c r="P165" s="537"/>
      <c r="Q165" s="537"/>
    </row>
    <row r="166" spans="1:17" ht="11.25">
      <c r="A166" s="716"/>
      <c r="B166" s="536"/>
      <c r="C166" s="536"/>
      <c r="D166" s="536"/>
      <c r="E166" s="537"/>
      <c r="F166" s="537"/>
      <c r="G166" s="537"/>
      <c r="H166" s="537"/>
      <c r="I166" s="537"/>
      <c r="J166" s="537"/>
      <c r="K166" s="537"/>
      <c r="L166" s="537"/>
      <c r="M166" s="537"/>
      <c r="N166" s="537"/>
      <c r="O166" s="537"/>
      <c r="P166" s="537"/>
      <c r="Q166" s="537"/>
    </row>
    <row r="167" spans="1:17" ht="11.25">
      <c r="A167" s="716"/>
      <c r="B167" s="536"/>
      <c r="C167" s="536"/>
      <c r="D167" s="536"/>
      <c r="E167" s="537"/>
      <c r="F167" s="537"/>
      <c r="G167" s="537"/>
      <c r="H167" s="537"/>
      <c r="I167" s="537"/>
      <c r="J167" s="537"/>
      <c r="K167" s="537"/>
      <c r="L167" s="537"/>
      <c r="M167" s="537"/>
      <c r="N167" s="537"/>
      <c r="O167" s="537"/>
      <c r="P167" s="537"/>
      <c r="Q167" s="537"/>
    </row>
  </sheetData>
  <mergeCells count="96">
    <mergeCell ref="A159:A167"/>
    <mergeCell ref="B159:Q159"/>
    <mergeCell ref="B160:Q160"/>
    <mergeCell ref="B161:Q161"/>
    <mergeCell ref="B162:Q162"/>
    <mergeCell ref="A150:A158"/>
    <mergeCell ref="B150:Q150"/>
    <mergeCell ref="B151:Q151"/>
    <mergeCell ref="B152:Q152"/>
    <mergeCell ref="B153:Q153"/>
    <mergeCell ref="A141:A149"/>
    <mergeCell ref="B141:Q141"/>
    <mergeCell ref="B142:Q142"/>
    <mergeCell ref="B143:Q143"/>
    <mergeCell ref="B144:Q144"/>
    <mergeCell ref="A123:B123"/>
    <mergeCell ref="C123:D123"/>
    <mergeCell ref="A125:J125"/>
    <mergeCell ref="A132:A140"/>
    <mergeCell ref="B132:Q132"/>
    <mergeCell ref="B133:Q133"/>
    <mergeCell ref="B134:Q134"/>
    <mergeCell ref="B135:Q135"/>
    <mergeCell ref="B114:Q114"/>
    <mergeCell ref="B115:Q115"/>
    <mergeCell ref="B116:Q116"/>
    <mergeCell ref="B117:Q117"/>
    <mergeCell ref="B105:Q105"/>
    <mergeCell ref="B106:Q106"/>
    <mergeCell ref="B107:Q107"/>
    <mergeCell ref="B108:Q108"/>
    <mergeCell ref="B96:Q96"/>
    <mergeCell ref="B97:Q97"/>
    <mergeCell ref="B98:Q98"/>
    <mergeCell ref="B99:Q99"/>
    <mergeCell ref="A87:A95"/>
    <mergeCell ref="B87:Q87"/>
    <mergeCell ref="B88:Q88"/>
    <mergeCell ref="B89:Q89"/>
    <mergeCell ref="B90:Q90"/>
    <mergeCell ref="B78:Q78"/>
    <mergeCell ref="B79:Q79"/>
    <mergeCell ref="B80:Q80"/>
    <mergeCell ref="B81:Q81"/>
    <mergeCell ref="B60:Q60"/>
    <mergeCell ref="B61:Q61"/>
    <mergeCell ref="A69:A77"/>
    <mergeCell ref="B69:Q69"/>
    <mergeCell ref="B70:Q70"/>
    <mergeCell ref="B71:Q71"/>
    <mergeCell ref="B72:Q72"/>
    <mergeCell ref="B62:Q62"/>
    <mergeCell ref="B63:Q63"/>
    <mergeCell ref="A60:A68"/>
    <mergeCell ref="B24:Q24"/>
    <mergeCell ref="A15:A23"/>
    <mergeCell ref="B15:Q15"/>
    <mergeCell ref="B16:Q16"/>
    <mergeCell ref="B17:Q17"/>
    <mergeCell ref="B18:Q18"/>
    <mergeCell ref="I11:I12"/>
    <mergeCell ref="J11:L11"/>
    <mergeCell ref="A7:A12"/>
    <mergeCell ref="B7:B12"/>
    <mergeCell ref="C7:C12"/>
    <mergeCell ref="D7:D12"/>
    <mergeCell ref="E7:E12"/>
    <mergeCell ref="F8:F12"/>
    <mergeCell ref="G8:G12"/>
    <mergeCell ref="F7:G7"/>
    <mergeCell ref="A5:Q5"/>
    <mergeCell ref="N11:Q11"/>
    <mergeCell ref="C14:D14"/>
    <mergeCell ref="M11:M12"/>
    <mergeCell ref="H7:Q7"/>
    <mergeCell ref="H8:Q8"/>
    <mergeCell ref="I9:Q9"/>
    <mergeCell ref="M10:Q10"/>
    <mergeCell ref="H9:H12"/>
    <mergeCell ref="I10:L10"/>
    <mergeCell ref="B25:Q25"/>
    <mergeCell ref="B26:Q26"/>
    <mergeCell ref="B27:Q27"/>
    <mergeCell ref="B33:Q33"/>
    <mergeCell ref="B34:Q34"/>
    <mergeCell ref="B35:Q35"/>
    <mergeCell ref="B36:Q36"/>
    <mergeCell ref="B42:Q42"/>
    <mergeCell ref="B43:Q43"/>
    <mergeCell ref="B44:Q44"/>
    <mergeCell ref="B45:Q45"/>
    <mergeCell ref="B52:Q52"/>
    <mergeCell ref="B53:Q53"/>
    <mergeCell ref="B54:Q54"/>
    <mergeCell ref="A51:A59"/>
    <mergeCell ref="B51:Q51"/>
  </mergeCells>
  <printOptions/>
  <pageMargins left="0.3937007874015748" right="0.3937007874015748" top="0.31" bottom="0.37" header="0.1968503937007874" footer="0.17"/>
  <pageSetup fitToHeight="4" horizontalDpi="300" verticalDpi="300" orientation="landscape" paperSize="9" scale="81" r:id="rId1"/>
  <headerFooter alignWithMargins="0">
    <oddFooter>&amp;C&amp;P / &amp;N</oddFooter>
  </headerFooter>
  <rowBreaks count="2" manualBreakCount="2">
    <brk id="50" max="255" man="1"/>
    <brk id="9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workbookViewId="0" topLeftCell="A7">
      <selection activeCell="D25" sqref="D25"/>
    </sheetView>
  </sheetViews>
  <sheetFormatPr defaultColWidth="9.00390625" defaultRowHeight="12.75"/>
  <cols>
    <col min="1" max="1" width="6.375" style="1" customWidth="1"/>
    <col min="2" max="2" width="43.75390625" style="1" customWidth="1"/>
    <col min="3" max="3" width="21.125" style="1" customWidth="1"/>
    <col min="4" max="4" width="17.125" style="1" customWidth="1"/>
    <col min="5" max="16384" width="9.125" style="1" customWidth="1"/>
  </cols>
  <sheetData>
    <row r="1" ht="12.75">
      <c r="C1" t="s">
        <v>671</v>
      </c>
    </row>
    <row r="2" ht="12.75">
      <c r="C2" t="s">
        <v>688</v>
      </c>
    </row>
    <row r="3" ht="12.75">
      <c r="C3" t="s">
        <v>186</v>
      </c>
    </row>
    <row r="4" ht="12.75">
      <c r="C4" t="s">
        <v>689</v>
      </c>
    </row>
    <row r="6" spans="1:4" ht="15" customHeight="1">
      <c r="A6" s="719" t="s">
        <v>672</v>
      </c>
      <c r="B6" s="719"/>
      <c r="C6" s="719"/>
      <c r="D6" s="719"/>
    </row>
    <row r="7" ht="6.75" customHeight="1">
      <c r="A7" s="20"/>
    </row>
    <row r="8" ht="12.75">
      <c r="D8" s="11" t="s">
        <v>43</v>
      </c>
    </row>
    <row r="9" spans="1:4" ht="15" customHeight="1">
      <c r="A9" s="696" t="s">
        <v>61</v>
      </c>
      <c r="B9" s="696" t="s">
        <v>5</v>
      </c>
      <c r="C9" s="693" t="s">
        <v>581</v>
      </c>
      <c r="D9" s="693" t="s">
        <v>485</v>
      </c>
    </row>
    <row r="10" spans="1:4" ht="15" customHeight="1">
      <c r="A10" s="696"/>
      <c r="B10" s="696"/>
      <c r="C10" s="696"/>
      <c r="D10" s="693"/>
    </row>
    <row r="11" spans="1:4" ht="15.75" customHeight="1">
      <c r="A11" s="696"/>
      <c r="B11" s="696"/>
      <c r="C11" s="696"/>
      <c r="D11" s="693"/>
    </row>
    <row r="12" spans="1:4" s="67" customFormat="1" ht="6.75" customHeight="1">
      <c r="A12" s="66">
        <v>1</v>
      </c>
      <c r="B12" s="66">
        <v>2</v>
      </c>
      <c r="C12" s="66">
        <v>3</v>
      </c>
      <c r="D12" s="66">
        <v>4</v>
      </c>
    </row>
    <row r="13" spans="1:4" ht="18.75" customHeight="1">
      <c r="A13" s="718" t="s">
        <v>26</v>
      </c>
      <c r="B13" s="718"/>
      <c r="C13" s="27"/>
      <c r="D13" s="440">
        <f>SUM(D14:D21)</f>
        <v>6070369</v>
      </c>
    </row>
    <row r="14" spans="1:4" ht="18.75" customHeight="1">
      <c r="A14" s="29" t="s">
        <v>12</v>
      </c>
      <c r="B14" s="30" t="s">
        <v>20</v>
      </c>
      <c r="C14" s="29" t="s">
        <v>27</v>
      </c>
      <c r="D14" s="441">
        <v>0</v>
      </c>
    </row>
    <row r="15" spans="1:4" ht="18.75" customHeight="1">
      <c r="A15" s="31" t="s">
        <v>13</v>
      </c>
      <c r="B15" s="32" t="s">
        <v>21</v>
      </c>
      <c r="C15" s="31" t="s">
        <v>27</v>
      </c>
      <c r="D15" s="442">
        <v>1880000</v>
      </c>
    </row>
    <row r="16" spans="1:4" ht="25.5">
      <c r="A16" s="31" t="s">
        <v>14</v>
      </c>
      <c r="B16" s="33" t="s">
        <v>118</v>
      </c>
      <c r="C16" s="31" t="s">
        <v>51</v>
      </c>
      <c r="D16" s="442">
        <v>0</v>
      </c>
    </row>
    <row r="17" spans="1:4" ht="18.75" customHeight="1">
      <c r="A17" s="31" t="s">
        <v>1</v>
      </c>
      <c r="B17" s="32" t="s">
        <v>29</v>
      </c>
      <c r="C17" s="31" t="s">
        <v>52</v>
      </c>
      <c r="D17" s="442">
        <v>0</v>
      </c>
    </row>
    <row r="18" spans="1:4" ht="18.75" customHeight="1">
      <c r="A18" s="31" t="s">
        <v>19</v>
      </c>
      <c r="B18" s="32" t="s">
        <v>119</v>
      </c>
      <c r="C18" s="31" t="s">
        <v>131</v>
      </c>
      <c r="D18" s="442">
        <v>0</v>
      </c>
    </row>
    <row r="19" spans="1:4" ht="18.75" customHeight="1">
      <c r="A19" s="31" t="s">
        <v>22</v>
      </c>
      <c r="B19" s="32" t="s">
        <v>23</v>
      </c>
      <c r="C19" s="31" t="s">
        <v>28</v>
      </c>
      <c r="D19" s="442">
        <v>0</v>
      </c>
    </row>
    <row r="20" spans="1:4" ht="18.75" customHeight="1">
      <c r="A20" s="31" t="s">
        <v>24</v>
      </c>
      <c r="B20" s="32" t="s">
        <v>144</v>
      </c>
      <c r="C20" s="31" t="s">
        <v>65</v>
      </c>
      <c r="D20" s="443"/>
    </row>
    <row r="21" spans="1:4" ht="18.75" customHeight="1">
      <c r="A21" s="31" t="s">
        <v>31</v>
      </c>
      <c r="B21" s="35" t="s">
        <v>50</v>
      </c>
      <c r="C21" s="34" t="s">
        <v>30</v>
      </c>
      <c r="D21" s="444">
        <v>4190369</v>
      </c>
    </row>
    <row r="22" spans="1:4" ht="18.75" customHeight="1">
      <c r="A22" s="718" t="s">
        <v>120</v>
      </c>
      <c r="B22" s="718"/>
      <c r="C22" s="27"/>
      <c r="D22" s="440">
        <f>SUM(D23:D29)</f>
        <v>2600000</v>
      </c>
    </row>
    <row r="23" spans="1:4" ht="18.75" customHeight="1">
      <c r="A23" s="29" t="s">
        <v>12</v>
      </c>
      <c r="B23" s="30" t="s">
        <v>53</v>
      </c>
      <c r="C23" s="29" t="s">
        <v>33</v>
      </c>
      <c r="D23" s="445">
        <v>2600000</v>
      </c>
    </row>
    <row r="24" spans="1:4" ht="18.75" customHeight="1">
      <c r="A24" s="31" t="s">
        <v>13</v>
      </c>
      <c r="B24" s="32" t="s">
        <v>32</v>
      </c>
      <c r="C24" s="31" t="s">
        <v>33</v>
      </c>
      <c r="D24" s="443"/>
    </row>
    <row r="25" spans="1:4" ht="38.25">
      <c r="A25" s="31" t="s">
        <v>14</v>
      </c>
      <c r="B25" s="33" t="s">
        <v>56</v>
      </c>
      <c r="C25" s="31" t="s">
        <v>57</v>
      </c>
      <c r="D25" s="443">
        <v>0</v>
      </c>
    </row>
    <row r="26" spans="1:4" ht="18.75" customHeight="1">
      <c r="A26" s="31" t="s">
        <v>1</v>
      </c>
      <c r="B26" s="32" t="s">
        <v>54</v>
      </c>
      <c r="C26" s="31" t="s">
        <v>48</v>
      </c>
      <c r="D26" s="443">
        <v>0</v>
      </c>
    </row>
    <row r="27" spans="1:4" ht="18.75" customHeight="1">
      <c r="A27" s="31" t="s">
        <v>19</v>
      </c>
      <c r="B27" s="32" t="s">
        <v>55</v>
      </c>
      <c r="C27" s="31" t="s">
        <v>35</v>
      </c>
      <c r="D27" s="443">
        <v>0</v>
      </c>
    </row>
    <row r="28" spans="1:4" ht="18.75" customHeight="1">
      <c r="A28" s="31" t="s">
        <v>22</v>
      </c>
      <c r="B28" s="32" t="s">
        <v>145</v>
      </c>
      <c r="C28" s="31" t="s">
        <v>36</v>
      </c>
      <c r="D28" s="443"/>
    </row>
    <row r="29" spans="1:4" ht="18.75" customHeight="1">
      <c r="A29" s="34" t="s">
        <v>24</v>
      </c>
      <c r="B29" s="35" t="s">
        <v>37</v>
      </c>
      <c r="C29" s="34" t="s">
        <v>34</v>
      </c>
      <c r="D29" s="444" t="s">
        <v>25</v>
      </c>
    </row>
    <row r="30" spans="1:4" ht="7.5" customHeight="1">
      <c r="A30" s="4"/>
      <c r="B30" s="5"/>
      <c r="C30" s="5"/>
      <c r="D30" s="173" t="s">
        <v>25</v>
      </c>
    </row>
    <row r="31" spans="1:6" ht="12.75">
      <c r="A31" s="51"/>
      <c r="B31" s="50"/>
      <c r="C31" s="50"/>
      <c r="D31" s="139"/>
      <c r="E31" s="47"/>
      <c r="F31" s="47"/>
    </row>
  </sheetData>
  <mergeCells count="7"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79" bottom="0.5905511811023623" header="0.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defaultGridColor="0" view="pageBreakPreview" zoomScaleSheetLayoutView="100" colorId="8" workbookViewId="0" topLeftCell="A1">
      <selection activeCell="A6" sqref="A6:H6"/>
    </sheetView>
  </sheetViews>
  <sheetFormatPr defaultColWidth="9.00390625" defaultRowHeight="12.75"/>
  <cols>
    <col min="1" max="1" width="8.625" style="1" customWidth="1"/>
    <col min="2" max="2" width="11.625" style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5.375" style="0" customWidth="1"/>
    <col min="8" max="8" width="24.375" style="0" customWidth="1"/>
  </cols>
  <sheetData>
    <row r="1" ht="12.75">
      <c r="G1" t="s">
        <v>582</v>
      </c>
    </row>
    <row r="2" ht="12.75">
      <c r="G2" t="s">
        <v>657</v>
      </c>
    </row>
    <row r="3" ht="12.75">
      <c r="G3" t="s">
        <v>186</v>
      </c>
    </row>
    <row r="4" ht="12.75">
      <c r="G4" t="s">
        <v>658</v>
      </c>
    </row>
    <row r="6" spans="1:8" ht="48.75" customHeight="1">
      <c r="A6" s="720" t="s">
        <v>557</v>
      </c>
      <c r="B6" s="720"/>
      <c r="C6" s="720"/>
      <c r="D6" s="720"/>
      <c r="E6" s="720"/>
      <c r="F6" s="720"/>
      <c r="G6" s="720"/>
      <c r="H6" s="720"/>
    </row>
    <row r="7" ht="12.75">
      <c r="H7" s="10" t="s">
        <v>43</v>
      </c>
    </row>
    <row r="8" spans="1:8" s="3" customFormat="1" ht="20.25" customHeight="1">
      <c r="A8" s="696" t="s">
        <v>2</v>
      </c>
      <c r="B8" s="721" t="s">
        <v>3</v>
      </c>
      <c r="C8" s="693" t="s">
        <v>109</v>
      </c>
      <c r="D8" s="693" t="s">
        <v>132</v>
      </c>
      <c r="E8" s="693" t="s">
        <v>78</v>
      </c>
      <c r="F8" s="693"/>
      <c r="G8" s="693"/>
      <c r="H8" s="693"/>
    </row>
    <row r="9" spans="1:8" s="3" customFormat="1" ht="20.25" customHeight="1">
      <c r="A9" s="696"/>
      <c r="B9" s="722"/>
      <c r="C9" s="696"/>
      <c r="D9" s="693"/>
      <c r="E9" s="693" t="s">
        <v>107</v>
      </c>
      <c r="F9" s="693" t="s">
        <v>6</v>
      </c>
      <c r="G9" s="693"/>
      <c r="H9" s="693" t="s">
        <v>108</v>
      </c>
    </row>
    <row r="10" spans="1:8" s="3" customFormat="1" ht="65.25" customHeight="1">
      <c r="A10" s="696"/>
      <c r="B10" s="723"/>
      <c r="C10" s="696"/>
      <c r="D10" s="693"/>
      <c r="E10" s="693"/>
      <c r="F10" s="19" t="s">
        <v>554</v>
      </c>
      <c r="G10" s="19" t="s">
        <v>133</v>
      </c>
      <c r="H10" s="693"/>
    </row>
    <row r="11" spans="1:8" ht="9" customHeight="1">
      <c r="A11" s="21">
        <v>1</v>
      </c>
      <c r="B11" s="21">
        <v>2</v>
      </c>
      <c r="C11" s="21">
        <v>4</v>
      </c>
      <c r="D11" s="21">
        <v>5</v>
      </c>
      <c r="E11" s="21">
        <v>6</v>
      </c>
      <c r="F11" s="21">
        <v>7</v>
      </c>
      <c r="G11" s="21">
        <v>8</v>
      </c>
      <c r="H11" s="21">
        <v>9</v>
      </c>
    </row>
    <row r="12" spans="1:8" ht="19.5" customHeight="1">
      <c r="A12" s="99">
        <v>750</v>
      </c>
      <c r="B12" s="99">
        <v>75011</v>
      </c>
      <c r="C12" s="100">
        <v>125207</v>
      </c>
      <c r="D12" s="100">
        <f aca="true" t="shared" si="0" ref="D12:D17">+E12+H12</f>
        <v>125207</v>
      </c>
      <c r="E12" s="447">
        <f aca="true" t="shared" si="1" ref="E12:E17">+C12</f>
        <v>125207</v>
      </c>
      <c r="F12" s="100">
        <f>+E12</f>
        <v>125207</v>
      </c>
      <c r="G12" s="100"/>
      <c r="H12" s="100"/>
    </row>
    <row r="13" spans="1:8" ht="19.5" customHeight="1">
      <c r="A13" s="102">
        <v>751</v>
      </c>
      <c r="B13" s="102">
        <v>75101</v>
      </c>
      <c r="C13" s="101">
        <v>3611</v>
      </c>
      <c r="D13" s="101">
        <f t="shared" si="0"/>
        <v>3611</v>
      </c>
      <c r="E13" s="101">
        <f t="shared" si="1"/>
        <v>3611</v>
      </c>
      <c r="F13" s="101">
        <f>+E13</f>
        <v>3611</v>
      </c>
      <c r="G13" s="101"/>
      <c r="H13" s="101"/>
    </row>
    <row r="14" spans="1:8" ht="19.5" customHeight="1">
      <c r="A14" s="102">
        <v>754</v>
      </c>
      <c r="B14" s="102">
        <v>75414</v>
      </c>
      <c r="C14" s="101">
        <v>1000</v>
      </c>
      <c r="D14" s="101">
        <f t="shared" si="0"/>
        <v>1000</v>
      </c>
      <c r="E14" s="101">
        <f t="shared" si="1"/>
        <v>1000</v>
      </c>
      <c r="F14" s="101"/>
      <c r="G14" s="101"/>
      <c r="H14" s="101"/>
    </row>
    <row r="15" spans="1:8" ht="19.5" customHeight="1">
      <c r="A15" s="102">
        <v>852</v>
      </c>
      <c r="B15" s="102">
        <v>85212</v>
      </c>
      <c r="C15" s="101">
        <f>+D15</f>
        <v>4576000</v>
      </c>
      <c r="D15" s="101">
        <f t="shared" si="0"/>
        <v>4576000</v>
      </c>
      <c r="E15" s="101">
        <v>4576000</v>
      </c>
      <c r="F15" s="101">
        <v>107662</v>
      </c>
      <c r="G15" s="101">
        <f>+E15-F15</f>
        <v>4468338</v>
      </c>
      <c r="H15" s="103"/>
    </row>
    <row r="16" spans="1:8" ht="19.5" customHeight="1">
      <c r="A16" s="102"/>
      <c r="B16" s="102">
        <v>85213</v>
      </c>
      <c r="C16" s="101">
        <v>31000</v>
      </c>
      <c r="D16" s="101">
        <f t="shared" si="0"/>
        <v>31000</v>
      </c>
      <c r="E16" s="101">
        <f t="shared" si="1"/>
        <v>31000</v>
      </c>
      <c r="F16" s="101"/>
      <c r="G16" s="101">
        <f>+E16</f>
        <v>31000</v>
      </c>
      <c r="H16" s="103"/>
    </row>
    <row r="17" spans="1:8" ht="19.5" customHeight="1">
      <c r="A17" s="106"/>
      <c r="B17" s="106">
        <v>85214</v>
      </c>
      <c r="C17" s="446">
        <v>359000</v>
      </c>
      <c r="D17" s="101">
        <f t="shared" si="0"/>
        <v>359000</v>
      </c>
      <c r="E17" s="448">
        <f t="shared" si="1"/>
        <v>359000</v>
      </c>
      <c r="F17" s="446"/>
      <c r="G17" s="446">
        <f>+E17</f>
        <v>359000</v>
      </c>
      <c r="H17" s="105"/>
    </row>
    <row r="18" spans="1:8" ht="19.5" customHeight="1">
      <c r="A18" s="63"/>
      <c r="B18" s="63" t="s">
        <v>390</v>
      </c>
      <c r="C18" s="95">
        <f>SUM(C12:C17)</f>
        <v>5095818</v>
      </c>
      <c r="D18" s="95">
        <f>SUM(D12:D17)</f>
        <v>5095818</v>
      </c>
      <c r="E18" s="95">
        <f>SUM(E12:E17)</f>
        <v>5095818</v>
      </c>
      <c r="F18" s="95">
        <f>SUM(F12:F17)</f>
        <v>236480</v>
      </c>
      <c r="G18" s="95">
        <f>SUM(G12:G17)</f>
        <v>4858338</v>
      </c>
      <c r="H18" s="95" t="s">
        <v>25</v>
      </c>
    </row>
    <row r="19" spans="1:8" ht="19.5" customHeight="1">
      <c r="A19" s="131"/>
      <c r="B19" s="132"/>
      <c r="C19" s="133"/>
      <c r="D19" s="133"/>
      <c r="E19" s="133"/>
      <c r="F19" s="133"/>
      <c r="G19" s="133"/>
      <c r="H19" s="134"/>
    </row>
    <row r="20" spans="1:8" ht="12.75">
      <c r="A20" s="135"/>
      <c r="B20" s="137" t="s">
        <v>428</v>
      </c>
      <c r="C20" s="137"/>
      <c r="D20" s="137"/>
      <c r="E20" s="137"/>
      <c r="F20" s="138"/>
      <c r="G20" s="138"/>
      <c r="H20" s="136"/>
    </row>
    <row r="21" spans="1:8" ht="12.75">
      <c r="A21" s="63">
        <v>750</v>
      </c>
      <c r="B21" s="63">
        <v>75011</v>
      </c>
      <c r="C21" s="95">
        <v>30000</v>
      </c>
      <c r="D21" s="22"/>
      <c r="E21" s="22"/>
      <c r="F21" s="128"/>
      <c r="G21" s="128"/>
      <c r="H21" s="128"/>
    </row>
    <row r="22" spans="1:8" ht="12.75">
      <c r="A22" s="63">
        <v>852</v>
      </c>
      <c r="B22" s="63">
        <v>85212</v>
      </c>
      <c r="C22" s="95">
        <v>6000</v>
      </c>
      <c r="D22" s="22"/>
      <c r="E22" s="22"/>
      <c r="F22" s="128"/>
      <c r="G22" s="128"/>
      <c r="H22" s="128"/>
    </row>
    <row r="23" spans="1:8" ht="15">
      <c r="A23" s="129" t="s">
        <v>7</v>
      </c>
      <c r="B23" s="130" t="s">
        <v>306</v>
      </c>
      <c r="C23" s="93">
        <f>SUM(C21:C22)</f>
        <v>36000</v>
      </c>
      <c r="D23" s="22" t="s">
        <v>391</v>
      </c>
      <c r="E23" s="22"/>
      <c r="F23" s="128"/>
      <c r="G23" s="128"/>
      <c r="H23" s="128"/>
    </row>
  </sheetData>
  <mergeCells count="9">
    <mergeCell ref="F9:G9"/>
    <mergeCell ref="H9:H10"/>
    <mergeCell ref="E8:H8"/>
    <mergeCell ref="A6:H6"/>
    <mergeCell ref="E9:E10"/>
    <mergeCell ref="C8:C10"/>
    <mergeCell ref="D8:D10"/>
    <mergeCell ref="A8:A10"/>
    <mergeCell ref="B8:B10"/>
  </mergeCells>
  <printOptions horizontalCentered="1"/>
  <pageMargins left="0.5511811023622047" right="0.5511811023622047" top="0.73" bottom="0.3937007874015748" header="0.23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showGridLines="0" view="pageBreakPreview" zoomScaleSheetLayoutView="100" workbookViewId="0" topLeftCell="A1">
      <selection activeCell="F7" sqref="F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5.25390625" style="0" customWidth="1"/>
    <col min="8" max="8" width="16.75390625" style="0" customWidth="1"/>
    <col min="74" max="16384" width="9.125" style="1" customWidth="1"/>
  </cols>
  <sheetData>
    <row r="1" ht="12.75">
      <c r="G1" t="s">
        <v>583</v>
      </c>
    </row>
    <row r="2" ht="12.75">
      <c r="G2" t="s">
        <v>657</v>
      </c>
    </row>
    <row r="3" ht="12.75">
      <c r="G3" t="s">
        <v>186</v>
      </c>
    </row>
    <row r="4" ht="12.75">
      <c r="G4" t="s">
        <v>658</v>
      </c>
    </row>
    <row r="6" spans="1:8" ht="45" customHeight="1">
      <c r="A6" s="720" t="s">
        <v>561</v>
      </c>
      <c r="B6" s="720"/>
      <c r="C6" s="720"/>
      <c r="D6" s="720"/>
      <c r="E6" s="720"/>
      <c r="F6" s="720"/>
      <c r="G6" s="720"/>
      <c r="H6" s="720"/>
    </row>
    <row r="7" spans="1:5" ht="15.75">
      <c r="A7" s="13"/>
      <c r="B7" s="13"/>
      <c r="C7" s="13"/>
      <c r="D7" s="13"/>
      <c r="E7" s="13"/>
    </row>
    <row r="8" spans="1:8" ht="13.5" customHeight="1">
      <c r="A8" s="5"/>
      <c r="B8" s="5"/>
      <c r="C8" s="5"/>
      <c r="D8" s="5"/>
      <c r="E8" s="5"/>
      <c r="H8" s="60" t="s">
        <v>43</v>
      </c>
    </row>
    <row r="9" spans="1:8" ht="20.25" customHeight="1">
      <c r="A9" s="696" t="s">
        <v>2</v>
      </c>
      <c r="B9" s="721" t="s">
        <v>3</v>
      </c>
      <c r="C9" s="693" t="s">
        <v>109</v>
      </c>
      <c r="D9" s="693" t="s">
        <v>132</v>
      </c>
      <c r="E9" s="693" t="s">
        <v>78</v>
      </c>
      <c r="F9" s="693"/>
      <c r="G9" s="693"/>
      <c r="H9" s="693"/>
    </row>
    <row r="10" spans="1:8" ht="18" customHeight="1">
      <c r="A10" s="696"/>
      <c r="B10" s="722"/>
      <c r="C10" s="696"/>
      <c r="D10" s="693"/>
      <c r="E10" s="693" t="s">
        <v>107</v>
      </c>
      <c r="F10" s="693" t="s">
        <v>6</v>
      </c>
      <c r="G10" s="693"/>
      <c r="H10" s="693" t="s">
        <v>108</v>
      </c>
    </row>
    <row r="11" spans="1:8" ht="69" customHeight="1">
      <c r="A11" s="696"/>
      <c r="B11" s="723"/>
      <c r="C11" s="696"/>
      <c r="D11" s="693"/>
      <c r="E11" s="693"/>
      <c r="F11" s="19" t="s">
        <v>555</v>
      </c>
      <c r="G11" s="19" t="s">
        <v>133</v>
      </c>
      <c r="H11" s="693"/>
    </row>
    <row r="12" spans="1:8" ht="17.25" customHeight="1">
      <c r="A12" s="21">
        <v>1</v>
      </c>
      <c r="B12" s="21">
        <v>2</v>
      </c>
      <c r="C12" s="21">
        <v>4</v>
      </c>
      <c r="D12" s="21">
        <v>5</v>
      </c>
      <c r="E12" s="21">
        <v>6</v>
      </c>
      <c r="F12" s="21">
        <v>7</v>
      </c>
      <c r="G12" s="21">
        <v>8</v>
      </c>
      <c r="H12" s="21">
        <v>9</v>
      </c>
    </row>
    <row r="13" spans="1:8" ht="19.5" customHeight="1">
      <c r="A13" s="99">
        <v>710</v>
      </c>
      <c r="B13" s="99">
        <v>71035</v>
      </c>
      <c r="C13" s="100">
        <v>2300</v>
      </c>
      <c r="D13" s="100">
        <v>2300</v>
      </c>
      <c r="E13" s="100">
        <v>2300</v>
      </c>
      <c r="F13" s="100">
        <v>0</v>
      </c>
      <c r="G13" s="100">
        <v>0</v>
      </c>
      <c r="H13" s="100">
        <v>0</v>
      </c>
    </row>
    <row r="14" spans="1:8" ht="19.5" customHeight="1">
      <c r="A14" s="55"/>
      <c r="B14" s="55"/>
      <c r="C14" s="55"/>
      <c r="D14" s="55"/>
      <c r="E14" s="55"/>
      <c r="F14" s="55"/>
      <c r="G14" s="55"/>
      <c r="H14" s="55"/>
    </row>
    <row r="15" spans="1:8" ht="36.75" customHeight="1">
      <c r="A15" s="22"/>
      <c r="B15" s="63" t="s">
        <v>390</v>
      </c>
      <c r="C15" s="107">
        <f>SUM(C13:C14)</f>
        <v>2300</v>
      </c>
      <c r="D15" s="107">
        <f>SUM(D13:D14)</f>
        <v>2300</v>
      </c>
      <c r="E15" s="107">
        <f>SUM(E13:E14)</f>
        <v>2300</v>
      </c>
      <c r="F15" s="107">
        <v>0</v>
      </c>
      <c r="G15" s="107">
        <v>0</v>
      </c>
      <c r="H15" s="107">
        <v>0</v>
      </c>
    </row>
    <row r="17" spans="1:6" ht="12.75">
      <c r="A17" s="70" t="s">
        <v>25</v>
      </c>
      <c r="B17" s="1" t="s">
        <v>25</v>
      </c>
      <c r="C17" s="1" t="s">
        <v>25</v>
      </c>
      <c r="D17" s="1" t="s">
        <v>25</v>
      </c>
      <c r="F17"/>
    </row>
  </sheetData>
  <mergeCells count="9">
    <mergeCell ref="C9:C11"/>
    <mergeCell ref="A6:H6"/>
    <mergeCell ref="D9:D11"/>
    <mergeCell ref="E9:H9"/>
    <mergeCell ref="E10:E11"/>
    <mergeCell ref="F10:G10"/>
    <mergeCell ref="H10:H11"/>
    <mergeCell ref="A9:A11"/>
    <mergeCell ref="B9:B1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10.00390625" style="0" customWidth="1"/>
    <col min="4" max="4" width="12.125" style="0" customWidth="1"/>
    <col min="5" max="5" width="10.875" style="0" customWidth="1"/>
    <col min="6" max="6" width="11.125" style="0" customWidth="1"/>
    <col min="7" max="7" width="12.25390625" style="0" customWidth="1"/>
    <col min="8" max="8" width="13.25390625" style="0" customWidth="1"/>
    <col min="9" max="9" width="12.875" style="0" customWidth="1"/>
    <col min="10" max="10" width="18.375" style="0" customWidth="1"/>
    <col min="11" max="11" width="22.75390625" style="0" customWidth="1"/>
  </cols>
  <sheetData>
    <row r="1" ht="12.75">
      <c r="J1" t="s">
        <v>584</v>
      </c>
    </row>
    <row r="2" ht="12.75">
      <c r="J2" t="s">
        <v>657</v>
      </c>
    </row>
    <row r="3" ht="12.75">
      <c r="J3" t="s">
        <v>186</v>
      </c>
    </row>
    <row r="4" ht="12.75">
      <c r="J4" t="s">
        <v>658</v>
      </c>
    </row>
    <row r="6" spans="1:10" ht="16.5">
      <c r="A6" s="728" t="s">
        <v>60</v>
      </c>
      <c r="B6" s="728"/>
      <c r="C6" s="728"/>
      <c r="D6" s="728"/>
      <c r="E6" s="728"/>
      <c r="F6" s="728"/>
      <c r="G6" s="728"/>
      <c r="H6" s="728"/>
      <c r="I6" s="728"/>
      <c r="J6" s="728"/>
    </row>
    <row r="7" spans="1:10" ht="16.5">
      <c r="A7" s="728" t="s">
        <v>558</v>
      </c>
      <c r="B7" s="728"/>
      <c r="C7" s="728"/>
      <c r="D7" s="728"/>
      <c r="E7" s="728"/>
      <c r="F7" s="728"/>
      <c r="G7" s="728"/>
      <c r="H7" s="728"/>
      <c r="I7" s="728"/>
      <c r="J7" s="728"/>
    </row>
    <row r="8" spans="1:10" ht="6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K9" s="10" t="s">
        <v>43</v>
      </c>
    </row>
    <row r="10" spans="1:11" ht="15" customHeight="1">
      <c r="A10" s="696" t="s">
        <v>61</v>
      </c>
      <c r="B10" s="696" t="s">
        <v>0</v>
      </c>
      <c r="C10" s="693" t="s">
        <v>136</v>
      </c>
      <c r="D10" s="729" t="s">
        <v>70</v>
      </c>
      <c r="E10" s="730"/>
      <c r="F10" s="730"/>
      <c r="G10" s="731"/>
      <c r="H10" s="693" t="s">
        <v>8</v>
      </c>
      <c r="I10" s="693"/>
      <c r="J10" s="693" t="s">
        <v>137</v>
      </c>
      <c r="K10" s="693" t="s">
        <v>143</v>
      </c>
    </row>
    <row r="11" spans="1:11" ht="15" customHeight="1">
      <c r="A11" s="696"/>
      <c r="B11" s="696"/>
      <c r="C11" s="693"/>
      <c r="D11" s="693" t="s">
        <v>7</v>
      </c>
      <c r="E11" s="724" t="s">
        <v>6</v>
      </c>
      <c r="F11" s="725"/>
      <c r="G11" s="726"/>
      <c r="H11" s="693" t="s">
        <v>7</v>
      </c>
      <c r="I11" s="693" t="s">
        <v>63</v>
      </c>
      <c r="J11" s="693"/>
      <c r="K11" s="693"/>
    </row>
    <row r="12" spans="1:11" ht="18" customHeight="1">
      <c r="A12" s="696"/>
      <c r="B12" s="696"/>
      <c r="C12" s="693"/>
      <c r="D12" s="693"/>
      <c r="E12" s="732" t="s">
        <v>138</v>
      </c>
      <c r="F12" s="724" t="s">
        <v>6</v>
      </c>
      <c r="G12" s="726"/>
      <c r="H12" s="693"/>
      <c r="I12" s="693"/>
      <c r="J12" s="693"/>
      <c r="K12" s="693"/>
    </row>
    <row r="13" spans="1:11" ht="42" customHeight="1">
      <c r="A13" s="696"/>
      <c r="B13" s="696"/>
      <c r="C13" s="693"/>
      <c r="D13" s="693"/>
      <c r="E13" s="733"/>
      <c r="F13" s="74" t="s">
        <v>625</v>
      </c>
      <c r="G13" s="74" t="s">
        <v>135</v>
      </c>
      <c r="H13" s="693"/>
      <c r="I13" s="693"/>
      <c r="J13" s="693"/>
      <c r="K13" s="693"/>
    </row>
    <row r="14" spans="1:11" ht="12" customHeight="1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</row>
    <row r="15" spans="1:11" ht="19.5" customHeight="1">
      <c r="A15" s="64" t="s">
        <v>10</v>
      </c>
      <c r="B15" s="63" t="s">
        <v>11</v>
      </c>
      <c r="C15" s="95"/>
      <c r="D15" s="95">
        <f>+D17</f>
        <v>963500</v>
      </c>
      <c r="E15" s="95">
        <f>+E17</f>
        <v>356300</v>
      </c>
      <c r="F15" s="95">
        <f>+F17</f>
        <v>356300</v>
      </c>
      <c r="G15" s="95">
        <v>0</v>
      </c>
      <c r="H15" s="95">
        <f>+H17</f>
        <v>963500</v>
      </c>
      <c r="I15" s="95">
        <v>0</v>
      </c>
      <c r="J15" s="95">
        <v>0</v>
      </c>
      <c r="K15" s="96" t="s">
        <v>49</v>
      </c>
    </row>
    <row r="16" spans="1:11" ht="15" customHeight="1">
      <c r="A16" s="117"/>
      <c r="B16" s="120" t="s">
        <v>78</v>
      </c>
      <c r="C16" s="121"/>
      <c r="D16" s="121"/>
      <c r="E16" s="121"/>
      <c r="F16" s="121"/>
      <c r="G16" s="121"/>
      <c r="H16" s="121"/>
      <c r="I16" s="121"/>
      <c r="J16" s="121"/>
      <c r="K16" s="117"/>
    </row>
    <row r="17" spans="1:11" ht="19.5" customHeight="1">
      <c r="A17" s="36">
        <v>1</v>
      </c>
      <c r="B17" s="38" t="s">
        <v>413</v>
      </c>
      <c r="C17" s="98">
        <v>0</v>
      </c>
      <c r="D17" s="98">
        <f>607200+E17</f>
        <v>963500</v>
      </c>
      <c r="E17" s="98">
        <f>+F17</f>
        <v>356300</v>
      </c>
      <c r="F17" s="98">
        <v>356300</v>
      </c>
      <c r="G17" s="98">
        <v>0</v>
      </c>
      <c r="H17" s="98">
        <v>963500</v>
      </c>
      <c r="I17" s="98">
        <v>0</v>
      </c>
      <c r="J17" s="98">
        <v>0</v>
      </c>
      <c r="K17" s="115" t="s">
        <v>49</v>
      </c>
    </row>
    <row r="18" spans="1:11" ht="19.5" customHeight="1">
      <c r="A18" s="64" t="s">
        <v>16</v>
      </c>
      <c r="B18" s="63" t="s">
        <v>15</v>
      </c>
      <c r="C18" s="95"/>
      <c r="D18" s="95">
        <f>SUM(D20:D21)</f>
        <v>787200</v>
      </c>
      <c r="E18" s="95">
        <f>SUM(E20:E21)</f>
        <v>130000</v>
      </c>
      <c r="F18" s="96">
        <v>0</v>
      </c>
      <c r="G18" s="95"/>
      <c r="H18" s="95">
        <f>SUM(H20:H21)</f>
        <v>787200</v>
      </c>
      <c r="I18" s="95"/>
      <c r="J18" s="95"/>
      <c r="K18" s="96" t="s">
        <v>49</v>
      </c>
    </row>
    <row r="19" spans="1:11" ht="17.25" customHeight="1">
      <c r="A19" s="117"/>
      <c r="B19" s="120" t="s">
        <v>78</v>
      </c>
      <c r="C19" s="118"/>
      <c r="D19" s="118"/>
      <c r="E19" s="118"/>
      <c r="F19" s="119"/>
      <c r="G19" s="118"/>
      <c r="H19" s="118"/>
      <c r="I19" s="118"/>
      <c r="J19" s="118"/>
      <c r="K19" s="119"/>
    </row>
    <row r="20" spans="1:11" ht="32.25" customHeight="1">
      <c r="A20" s="36">
        <v>1</v>
      </c>
      <c r="B20" s="116" t="s">
        <v>414</v>
      </c>
      <c r="C20" s="98">
        <v>0</v>
      </c>
      <c r="D20" s="98">
        <v>392000</v>
      </c>
      <c r="E20" s="98">
        <v>0</v>
      </c>
      <c r="F20" s="115" t="s">
        <v>49</v>
      </c>
      <c r="G20" s="98">
        <v>0</v>
      </c>
      <c r="H20" s="98">
        <v>392000</v>
      </c>
      <c r="I20" s="98">
        <v>0</v>
      </c>
      <c r="J20" s="98">
        <v>0</v>
      </c>
      <c r="K20" s="115" t="s">
        <v>49</v>
      </c>
    </row>
    <row r="21" spans="1:11" ht="19.5" customHeight="1">
      <c r="A21" s="122">
        <v>2</v>
      </c>
      <c r="B21" s="123" t="s">
        <v>415</v>
      </c>
      <c r="C21" s="104"/>
      <c r="D21" s="104">
        <v>395200</v>
      </c>
      <c r="E21" s="104">
        <v>130000</v>
      </c>
      <c r="F21" s="124" t="s">
        <v>49</v>
      </c>
      <c r="G21" s="104">
        <v>0</v>
      </c>
      <c r="H21" s="104">
        <v>395200</v>
      </c>
      <c r="I21" s="104">
        <v>0</v>
      </c>
      <c r="J21" s="104">
        <v>0</v>
      </c>
      <c r="K21" s="124" t="s">
        <v>49</v>
      </c>
    </row>
    <row r="22" spans="1:11" ht="27.75" customHeight="1">
      <c r="A22" s="64" t="s">
        <v>17</v>
      </c>
      <c r="B22" s="127" t="s">
        <v>134</v>
      </c>
      <c r="C22" s="95"/>
      <c r="D22" s="95">
        <f>SUM(D24:D31)</f>
        <v>58120</v>
      </c>
      <c r="E22" s="96">
        <v>0</v>
      </c>
      <c r="F22" s="96">
        <v>0</v>
      </c>
      <c r="G22" s="96">
        <v>0</v>
      </c>
      <c r="H22" s="95">
        <f>SUM(H24:H31)</f>
        <v>58120</v>
      </c>
      <c r="I22" s="96" t="s">
        <v>49</v>
      </c>
      <c r="J22" s="95"/>
      <c r="K22" s="95"/>
    </row>
    <row r="23" spans="1:11" ht="13.5" customHeight="1">
      <c r="A23" s="121"/>
      <c r="B23" s="120" t="s">
        <v>78</v>
      </c>
      <c r="C23" s="118"/>
      <c r="D23" s="125" t="s">
        <v>25</v>
      </c>
      <c r="E23" s="126" t="s">
        <v>25</v>
      </c>
      <c r="F23" s="119"/>
      <c r="G23" s="119"/>
      <c r="H23" s="125" t="s">
        <v>25</v>
      </c>
      <c r="I23" s="119"/>
      <c r="J23" s="118"/>
      <c r="K23" s="118"/>
    </row>
    <row r="24" spans="1:11" ht="19.5" customHeight="1">
      <c r="A24" s="24">
        <v>1</v>
      </c>
      <c r="B24" s="37" t="s">
        <v>416</v>
      </c>
      <c r="C24" s="98">
        <v>0</v>
      </c>
      <c r="D24" s="98">
        <v>3200</v>
      </c>
      <c r="E24" s="115">
        <v>0</v>
      </c>
      <c r="F24" s="115">
        <v>0</v>
      </c>
      <c r="G24" s="115">
        <v>0</v>
      </c>
      <c r="H24" s="98">
        <f>+D24</f>
        <v>3200</v>
      </c>
      <c r="I24" s="115">
        <v>0</v>
      </c>
      <c r="J24" s="98">
        <v>0</v>
      </c>
      <c r="K24" s="98"/>
    </row>
    <row r="25" spans="1:11" ht="19.5" customHeight="1">
      <c r="A25" s="24">
        <v>2</v>
      </c>
      <c r="B25" s="37" t="s">
        <v>417</v>
      </c>
      <c r="C25" s="98">
        <v>0</v>
      </c>
      <c r="D25" s="98">
        <v>4800</v>
      </c>
      <c r="E25" s="115">
        <v>0</v>
      </c>
      <c r="F25" s="115">
        <v>0</v>
      </c>
      <c r="G25" s="115">
        <v>0</v>
      </c>
      <c r="H25" s="98">
        <f aca="true" t="shared" si="0" ref="H25:H31">+D25</f>
        <v>4800</v>
      </c>
      <c r="I25" s="115">
        <v>0</v>
      </c>
      <c r="J25" s="98">
        <v>0</v>
      </c>
      <c r="K25" s="98"/>
    </row>
    <row r="26" spans="1:11" ht="19.5" customHeight="1">
      <c r="A26" s="24">
        <v>3</v>
      </c>
      <c r="B26" s="37" t="s">
        <v>418</v>
      </c>
      <c r="C26" s="98">
        <v>0</v>
      </c>
      <c r="D26" s="98">
        <v>6500</v>
      </c>
      <c r="E26" s="115">
        <v>0</v>
      </c>
      <c r="F26" s="115">
        <v>0</v>
      </c>
      <c r="G26" s="115">
        <v>0</v>
      </c>
      <c r="H26" s="98">
        <f t="shared" si="0"/>
        <v>6500</v>
      </c>
      <c r="I26" s="115">
        <v>0</v>
      </c>
      <c r="J26" s="98">
        <v>0</v>
      </c>
      <c r="K26" s="98"/>
    </row>
    <row r="27" spans="1:11" ht="19.5" customHeight="1">
      <c r="A27" s="24">
        <v>4</v>
      </c>
      <c r="B27" s="37" t="s">
        <v>419</v>
      </c>
      <c r="C27" s="98">
        <v>0</v>
      </c>
      <c r="D27" s="98">
        <v>19170</v>
      </c>
      <c r="E27" s="115">
        <v>0</v>
      </c>
      <c r="F27" s="115">
        <v>0</v>
      </c>
      <c r="G27" s="115">
        <v>0</v>
      </c>
      <c r="H27" s="98">
        <f t="shared" si="0"/>
        <v>19170</v>
      </c>
      <c r="I27" s="115">
        <v>0</v>
      </c>
      <c r="J27" s="98">
        <v>0</v>
      </c>
      <c r="K27" s="98"/>
    </row>
    <row r="28" spans="1:11" ht="19.5" customHeight="1">
      <c r="A28" s="24">
        <v>5</v>
      </c>
      <c r="B28" s="37" t="s">
        <v>420</v>
      </c>
      <c r="C28" s="98">
        <v>0</v>
      </c>
      <c r="D28" s="98">
        <v>12500</v>
      </c>
      <c r="E28" s="115">
        <v>0</v>
      </c>
      <c r="F28" s="115">
        <v>0</v>
      </c>
      <c r="G28" s="115">
        <v>0</v>
      </c>
      <c r="H28" s="98">
        <f t="shared" si="0"/>
        <v>12500</v>
      </c>
      <c r="I28" s="115">
        <v>0</v>
      </c>
      <c r="J28" s="98">
        <v>0</v>
      </c>
      <c r="K28" s="98"/>
    </row>
    <row r="29" spans="1:11" ht="19.5" customHeight="1">
      <c r="A29" s="24">
        <v>6</v>
      </c>
      <c r="B29" s="37" t="s">
        <v>294</v>
      </c>
      <c r="C29" s="98">
        <v>0</v>
      </c>
      <c r="D29" s="98">
        <v>3300</v>
      </c>
      <c r="E29" s="115">
        <v>0</v>
      </c>
      <c r="F29" s="115">
        <v>0</v>
      </c>
      <c r="G29" s="115">
        <v>0</v>
      </c>
      <c r="H29" s="98">
        <f t="shared" si="0"/>
        <v>3300</v>
      </c>
      <c r="I29" s="115">
        <v>0</v>
      </c>
      <c r="J29" s="98">
        <v>0</v>
      </c>
      <c r="K29" s="98"/>
    </row>
    <row r="30" spans="1:11" ht="19.5" customHeight="1">
      <c r="A30" s="24">
        <v>7</v>
      </c>
      <c r="B30" s="37" t="s">
        <v>421</v>
      </c>
      <c r="C30" s="98">
        <v>0</v>
      </c>
      <c r="D30" s="98">
        <v>5600</v>
      </c>
      <c r="E30" s="115">
        <v>0</v>
      </c>
      <c r="F30" s="115">
        <v>0</v>
      </c>
      <c r="G30" s="115">
        <v>0</v>
      </c>
      <c r="H30" s="98">
        <f t="shared" si="0"/>
        <v>5600</v>
      </c>
      <c r="I30" s="115">
        <v>0</v>
      </c>
      <c r="J30" s="98">
        <v>0</v>
      </c>
      <c r="K30" s="98"/>
    </row>
    <row r="31" spans="1:11" ht="19.5" customHeight="1">
      <c r="A31" s="24">
        <v>8</v>
      </c>
      <c r="B31" s="37" t="s">
        <v>422</v>
      </c>
      <c r="C31" s="98">
        <v>0</v>
      </c>
      <c r="D31" s="98">
        <v>3050</v>
      </c>
      <c r="E31" s="115">
        <v>0</v>
      </c>
      <c r="F31" s="115">
        <v>0</v>
      </c>
      <c r="G31" s="115">
        <v>0</v>
      </c>
      <c r="H31" s="98">
        <f t="shared" si="0"/>
        <v>3050</v>
      </c>
      <c r="I31" s="115">
        <v>0</v>
      </c>
      <c r="J31" s="98">
        <v>0</v>
      </c>
      <c r="K31" s="98"/>
    </row>
    <row r="32" spans="1:11" s="62" customFormat="1" ht="19.5" customHeight="1">
      <c r="A32" s="727" t="s">
        <v>121</v>
      </c>
      <c r="B32" s="727"/>
      <c r="C32" s="95"/>
      <c r="D32" s="95">
        <f>+D15+D18+D22</f>
        <v>1808820</v>
      </c>
      <c r="E32" s="95">
        <f>+E15+E18+E22</f>
        <v>486300</v>
      </c>
      <c r="F32" s="95">
        <f>+F15+F18+F22</f>
        <v>356300</v>
      </c>
      <c r="G32" s="95">
        <f>+G15+G18+G22</f>
        <v>0</v>
      </c>
      <c r="H32" s="95">
        <f>+H15+H18+H22</f>
        <v>1808820</v>
      </c>
      <c r="I32" s="95">
        <v>0</v>
      </c>
      <c r="J32" s="95">
        <v>0</v>
      </c>
      <c r="K32" s="95">
        <v>0</v>
      </c>
    </row>
    <row r="33" ht="4.5" customHeight="1"/>
    <row r="34" ht="12.75" customHeight="1">
      <c r="A34" s="75" t="s">
        <v>139</v>
      </c>
    </row>
    <row r="35" ht="14.25">
      <c r="A35" s="75" t="s">
        <v>141</v>
      </c>
    </row>
    <row r="36" ht="12.75">
      <c r="A36" s="75" t="s">
        <v>142</v>
      </c>
    </row>
    <row r="37" ht="12.75">
      <c r="A37" s="75" t="s">
        <v>140</v>
      </c>
    </row>
    <row r="40" ht="12.75">
      <c r="D40" s="231">
        <f>+D15+D18</f>
        <v>1750700</v>
      </c>
    </row>
  </sheetData>
  <mergeCells count="16">
    <mergeCell ref="A32:B32"/>
    <mergeCell ref="H10:I10"/>
    <mergeCell ref="A6:J6"/>
    <mergeCell ref="A7:J7"/>
    <mergeCell ref="A10:A13"/>
    <mergeCell ref="B10:B13"/>
    <mergeCell ref="C10:C13"/>
    <mergeCell ref="D11:D13"/>
    <mergeCell ref="D10:G10"/>
    <mergeCell ref="E12:E13"/>
    <mergeCell ref="E11:G11"/>
    <mergeCell ref="F12:G12"/>
    <mergeCell ref="K10:K13"/>
    <mergeCell ref="H11:H13"/>
    <mergeCell ref="I11:I13"/>
    <mergeCell ref="J10:J13"/>
  </mergeCells>
  <printOptions horizontalCentered="1"/>
  <pageMargins left="0.5118110236220472" right="0.5118110236220472" top="0.42" bottom="0.42" header="0.19" footer="0.2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MariaT</cp:lastModifiedBy>
  <cp:lastPrinted>2009-08-03T07:20:18Z</cp:lastPrinted>
  <dcterms:created xsi:type="dcterms:W3CDTF">1998-12-09T13:02:10Z</dcterms:created>
  <dcterms:modified xsi:type="dcterms:W3CDTF">2009-08-03T07:48:45Z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